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atrick\Documents\CULTURE D'ENTREPRISE\••• CLIENTS\• DLA59 Fructôse\• DLA59 Fructôse Rapport Final\"/>
    </mc:Choice>
  </mc:AlternateContent>
  <bookViews>
    <workbookView xWindow="0" yWindow="0" windowWidth="19200" windowHeight="12705" tabRatio="696"/>
  </bookViews>
  <sheets>
    <sheet name=" Analytique produits 2015" sheetId="2" r:id="rId1"/>
    <sheet name="Analytique charges 2015" sheetId="3" r:id="rId2"/>
    <sheet name="Investissements 2015" sheetId="4" r:id="rId3"/>
    <sheet name="Temps travail et prorata 2015" sheetId="5" r:id="rId4"/>
  </sheets>
  <definedNames>
    <definedName name="Excel_BuiltIn_Print_Area_1">#REF!</definedName>
    <definedName name="Excel_BuiltIn_Print_Area_1_1">#REF!</definedName>
    <definedName name="_xlnm.Print_Titles" localSheetId="3">'Temps travail et prorata 2015'!$1:$5</definedName>
  </definedNames>
  <calcPr calcId="15251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5" i="2" l="1"/>
  <c r="D35" i="2"/>
  <c r="E35" i="2"/>
  <c r="M35" i="2"/>
  <c r="B6" i="2"/>
  <c r="B7" i="2"/>
  <c r="B8" i="2"/>
  <c r="B9" i="2"/>
  <c r="B12" i="2"/>
  <c r="B13" i="2"/>
  <c r="B14" i="2"/>
  <c r="B15" i="2"/>
  <c r="B16" i="2"/>
  <c r="B17" i="2"/>
  <c r="B18" i="2"/>
  <c r="B19" i="2"/>
  <c r="B20" i="2"/>
  <c r="B23" i="2"/>
  <c r="B24" i="2"/>
  <c r="B27" i="2"/>
  <c r="B31" i="2"/>
  <c r="B33" i="2"/>
  <c r="B5" i="2"/>
  <c r="N35" i="2"/>
  <c r="C35" i="2"/>
  <c r="B35" i="2"/>
  <c r="F35" i="2"/>
  <c r="G35" i="2"/>
  <c r="I35" i="2"/>
  <c r="K35" i="2"/>
  <c r="L35" i="2"/>
  <c r="H35" i="2"/>
  <c r="J35" i="2"/>
  <c r="K10" i="3"/>
  <c r="C63" i="3"/>
  <c r="K9" i="3"/>
  <c r="K11" i="3"/>
  <c r="B41" i="3"/>
  <c r="D44" i="3"/>
  <c r="E44" i="3"/>
  <c r="F44" i="3"/>
  <c r="G44" i="3"/>
  <c r="H44" i="3"/>
  <c r="I44" i="3"/>
  <c r="J44" i="3"/>
  <c r="K44" i="3"/>
  <c r="L44" i="3"/>
  <c r="M44" i="3"/>
  <c r="N44" i="3"/>
  <c r="O44" i="3"/>
  <c r="D45" i="3"/>
  <c r="F45" i="3"/>
  <c r="G45" i="3"/>
  <c r="H45" i="3"/>
  <c r="I45" i="3"/>
  <c r="K45" i="3"/>
  <c r="L45" i="3"/>
  <c r="M45" i="3"/>
  <c r="N45" i="3"/>
  <c r="O45" i="3"/>
  <c r="D46" i="3"/>
  <c r="B46" i="3" s="1"/>
  <c r="E46" i="3"/>
  <c r="F46" i="3"/>
  <c r="G46" i="3"/>
  <c r="H46" i="3"/>
  <c r="I46" i="3"/>
  <c r="J46" i="3"/>
  <c r="K46" i="3"/>
  <c r="L46" i="3"/>
  <c r="M46" i="3"/>
  <c r="N46" i="3"/>
  <c r="G47" i="3"/>
  <c r="H47" i="3"/>
  <c r="I47" i="3"/>
  <c r="J47" i="3"/>
  <c r="K47" i="3"/>
  <c r="O47" i="3"/>
  <c r="G48" i="3"/>
  <c r="H48" i="3"/>
  <c r="I48" i="3"/>
  <c r="J48" i="3"/>
  <c r="K48" i="3"/>
  <c r="O48" i="3"/>
  <c r="B48" i="3"/>
  <c r="D49" i="3"/>
  <c r="E49" i="3"/>
  <c r="F49" i="3"/>
  <c r="H49" i="3"/>
  <c r="I49" i="3"/>
  <c r="J49" i="3"/>
  <c r="K49" i="3"/>
  <c r="L49" i="3"/>
  <c r="M49" i="3"/>
  <c r="N49" i="3"/>
  <c r="O49" i="3"/>
  <c r="B49" i="3"/>
  <c r="G50" i="3"/>
  <c r="H50" i="3"/>
  <c r="K50" i="3"/>
  <c r="B50" i="3"/>
  <c r="D51" i="3"/>
  <c r="E51" i="3"/>
  <c r="F51" i="3"/>
  <c r="G51" i="3"/>
  <c r="H51" i="3"/>
  <c r="I51" i="3"/>
  <c r="J51" i="3"/>
  <c r="K51" i="3"/>
  <c r="L51" i="3"/>
  <c r="M51" i="3"/>
  <c r="N51" i="3"/>
  <c r="O51" i="3"/>
  <c r="B52" i="3"/>
  <c r="B53" i="3"/>
  <c r="B54" i="3"/>
  <c r="B62" i="3"/>
  <c r="D3" i="4"/>
  <c r="D2" i="4"/>
  <c r="B103" i="5"/>
  <c r="B104" i="5" s="1"/>
  <c r="C103" i="5"/>
  <c r="C104" i="5"/>
  <c r="D103" i="5"/>
  <c r="D104" i="5" s="1"/>
  <c r="E103" i="5"/>
  <c r="E104" i="5"/>
  <c r="F103" i="5"/>
  <c r="F104" i="5" s="1"/>
  <c r="G103" i="5"/>
  <c r="G104" i="5"/>
  <c r="H103" i="5"/>
  <c r="H104" i="5" s="1"/>
  <c r="I103" i="5"/>
  <c r="I104" i="5"/>
  <c r="J103" i="5"/>
  <c r="K103" i="5"/>
  <c r="B95" i="5"/>
  <c r="C95" i="5"/>
  <c r="C96" i="5"/>
  <c r="D95" i="5"/>
  <c r="D96" i="5" s="1"/>
  <c r="E95" i="5"/>
  <c r="E96" i="5"/>
  <c r="F95" i="5"/>
  <c r="F96" i="5" s="1"/>
  <c r="G95" i="5"/>
  <c r="G96" i="5"/>
  <c r="H95" i="5"/>
  <c r="H96" i="5" s="1"/>
  <c r="I95" i="5"/>
  <c r="I96" i="5"/>
  <c r="J95" i="5"/>
  <c r="B88" i="5"/>
  <c r="B89" i="5"/>
  <c r="K89" i="5" s="1"/>
  <c r="C88" i="5"/>
  <c r="C89" i="5" s="1"/>
  <c r="D88" i="5"/>
  <c r="D89" i="5"/>
  <c r="E88" i="5"/>
  <c r="E89" i="5" s="1"/>
  <c r="F88" i="5"/>
  <c r="F89" i="5"/>
  <c r="G88" i="5"/>
  <c r="G89" i="5" s="1"/>
  <c r="H88" i="5"/>
  <c r="H89" i="5"/>
  <c r="I88" i="5"/>
  <c r="I89" i="5" s="1"/>
  <c r="J88" i="5"/>
  <c r="K88" i="5" s="1"/>
  <c r="B81" i="5"/>
  <c r="B82" i="5"/>
  <c r="C81" i="5"/>
  <c r="C82" i="5" s="1"/>
  <c r="D81" i="5"/>
  <c r="D82" i="5"/>
  <c r="E81" i="5"/>
  <c r="E82" i="5" s="1"/>
  <c r="F81" i="5"/>
  <c r="F82" i="5"/>
  <c r="G81" i="5"/>
  <c r="G82" i="5" s="1"/>
  <c r="H81" i="5"/>
  <c r="H82" i="5"/>
  <c r="I81" i="5"/>
  <c r="I82" i="5" s="1"/>
  <c r="J81" i="5"/>
  <c r="B71" i="5"/>
  <c r="B72" i="5" s="1"/>
  <c r="C71" i="5"/>
  <c r="C72" i="5"/>
  <c r="D71" i="5"/>
  <c r="D72" i="5" s="1"/>
  <c r="E71" i="5"/>
  <c r="E72" i="5"/>
  <c r="F71" i="5"/>
  <c r="F72" i="5" s="1"/>
  <c r="G71" i="5"/>
  <c r="G72" i="5"/>
  <c r="H71" i="5"/>
  <c r="H72" i="5" s="1"/>
  <c r="I71" i="5"/>
  <c r="I72" i="5"/>
  <c r="J71" i="5"/>
  <c r="K71" i="5"/>
  <c r="B64" i="5"/>
  <c r="C64" i="5"/>
  <c r="C65" i="5"/>
  <c r="D64" i="5"/>
  <c r="D65" i="5" s="1"/>
  <c r="E64" i="5"/>
  <c r="E65" i="5"/>
  <c r="F64" i="5"/>
  <c r="F65" i="5" s="1"/>
  <c r="G64" i="5"/>
  <c r="G65" i="5"/>
  <c r="H64" i="5"/>
  <c r="H65" i="5" s="1"/>
  <c r="I64" i="5"/>
  <c r="I65" i="5"/>
  <c r="J64" i="5"/>
  <c r="B56" i="5"/>
  <c r="B57" i="5"/>
  <c r="C56" i="5"/>
  <c r="C57" i="5" s="1"/>
  <c r="D56" i="5"/>
  <c r="D57" i="5"/>
  <c r="E56" i="5"/>
  <c r="E57" i="5" s="1"/>
  <c r="F56" i="5"/>
  <c r="F57" i="5"/>
  <c r="G56" i="5"/>
  <c r="G57" i="5" s="1"/>
  <c r="H56" i="5"/>
  <c r="H57" i="5"/>
  <c r="I56" i="5"/>
  <c r="I57" i="5" s="1"/>
  <c r="J56" i="5"/>
  <c r="K56" i="5" s="1"/>
  <c r="B46" i="5"/>
  <c r="B47" i="5"/>
  <c r="C46" i="5"/>
  <c r="C47" i="5" s="1"/>
  <c r="D46" i="5"/>
  <c r="D47" i="5"/>
  <c r="E46" i="5"/>
  <c r="E47" i="5" s="1"/>
  <c r="F46" i="5"/>
  <c r="F47" i="5"/>
  <c r="G46" i="5"/>
  <c r="G47" i="5" s="1"/>
  <c r="H46" i="5"/>
  <c r="H47" i="5"/>
  <c r="I46" i="5"/>
  <c r="I47" i="5" s="1"/>
  <c r="J46" i="5"/>
  <c r="B35" i="5"/>
  <c r="B36" i="5" s="1"/>
  <c r="C35" i="5"/>
  <c r="C36" i="5"/>
  <c r="D35" i="5"/>
  <c r="D36" i="5" s="1"/>
  <c r="K36" i="5" s="1"/>
  <c r="E35" i="5"/>
  <c r="E36" i="5" s="1"/>
  <c r="F35" i="5"/>
  <c r="F36" i="5" s="1"/>
  <c r="G35" i="5"/>
  <c r="G36" i="5" s="1"/>
  <c r="H35" i="5"/>
  <c r="H36" i="5" s="1"/>
  <c r="I35" i="5"/>
  <c r="I36" i="5"/>
  <c r="J35" i="5"/>
  <c r="B26" i="5"/>
  <c r="C26" i="5"/>
  <c r="C27" i="5"/>
  <c r="D26" i="5"/>
  <c r="D27" i="5" s="1"/>
  <c r="E26" i="5"/>
  <c r="E27" i="5"/>
  <c r="F26" i="5"/>
  <c r="F27" i="5" s="1"/>
  <c r="G26" i="5"/>
  <c r="G27" i="5"/>
  <c r="H26" i="5"/>
  <c r="H27" i="5" s="1"/>
  <c r="I26" i="5"/>
  <c r="I27" i="5"/>
  <c r="J26" i="5"/>
  <c r="B18" i="5"/>
  <c r="B19" i="5"/>
  <c r="C18" i="5"/>
  <c r="C19" i="5" s="1"/>
  <c r="D18" i="5"/>
  <c r="D19" i="5" s="1"/>
  <c r="E18" i="5"/>
  <c r="E19" i="5" s="1"/>
  <c r="F18" i="5"/>
  <c r="F19" i="5" s="1"/>
  <c r="G18" i="5"/>
  <c r="G19" i="5" s="1"/>
  <c r="H18" i="5"/>
  <c r="H19" i="5"/>
  <c r="I18" i="5"/>
  <c r="I19" i="5" s="1"/>
  <c r="J18" i="5"/>
  <c r="K18" i="5"/>
  <c r="D15" i="5"/>
  <c r="D16" i="5" s="1"/>
  <c r="F15" i="5"/>
  <c r="F16" i="5" s="1"/>
  <c r="H15" i="5"/>
  <c r="H16" i="5" s="1"/>
  <c r="J15" i="5"/>
  <c r="B6" i="5"/>
  <c r="B7" i="5"/>
  <c r="C6" i="5"/>
  <c r="C7" i="5" s="1"/>
  <c r="D6" i="5"/>
  <c r="D7" i="5"/>
  <c r="E6" i="5"/>
  <c r="E7" i="5" s="1"/>
  <c r="F6" i="5"/>
  <c r="F7" i="5"/>
  <c r="G6" i="5"/>
  <c r="G7" i="5" s="1"/>
  <c r="H6" i="5"/>
  <c r="H7" i="5"/>
  <c r="I6" i="5"/>
  <c r="I7" i="5" s="1"/>
  <c r="J6" i="5"/>
  <c r="K6" i="5" s="1"/>
  <c r="B4" i="5"/>
  <c r="D4" i="5"/>
  <c r="F2" i="5"/>
  <c r="F4" i="5" s="1"/>
  <c r="H2" i="5"/>
  <c r="H4" i="5" s="1"/>
  <c r="K7" i="5" l="1"/>
  <c r="K19" i="5"/>
  <c r="K47" i="5"/>
  <c r="K35" i="5"/>
  <c r="K57" i="5"/>
  <c r="K104" i="5"/>
  <c r="K26" i="5"/>
  <c r="K46" i="5"/>
  <c r="B45" i="3"/>
  <c r="I2" i="5"/>
  <c r="I4" i="5" s="1"/>
  <c r="I15" i="5"/>
  <c r="I16" i="5" s="1"/>
  <c r="G15" i="5"/>
  <c r="G16" i="5" s="1"/>
  <c r="E15" i="5"/>
  <c r="E16" i="5" s="1"/>
  <c r="C15" i="5"/>
  <c r="C16" i="5" s="1"/>
  <c r="B15" i="5"/>
  <c r="K72" i="5"/>
  <c r="B47" i="3"/>
  <c r="B65" i="5"/>
  <c r="K65" i="5" s="1"/>
  <c r="K64" i="5"/>
  <c r="J2" i="5"/>
  <c r="B27" i="5"/>
  <c r="K27" i="5" s="1"/>
  <c r="K81" i="5"/>
  <c r="K82" i="5"/>
  <c r="B96" i="5"/>
  <c r="K96" i="5" s="1"/>
  <c r="K95" i="5"/>
  <c r="B51" i="3"/>
  <c r="B44" i="3"/>
  <c r="B16" i="5" l="1"/>
  <c r="K16" i="5" s="1"/>
  <c r="K15" i="5"/>
  <c r="E2" i="5"/>
  <c r="E4" i="5" s="1"/>
  <c r="G2" i="5"/>
  <c r="G4" i="5" s="1"/>
  <c r="C2" i="5"/>
  <c r="C4" i="5" l="1"/>
  <c r="K4" i="5" s="1"/>
  <c r="K2" i="5"/>
  <c r="L88" i="5" l="1"/>
  <c r="L103" i="5"/>
  <c r="L71" i="5"/>
  <c r="L56" i="5"/>
  <c r="L6" i="5"/>
  <c r="L18" i="5"/>
  <c r="L81" i="5"/>
  <c r="L26" i="5"/>
  <c r="L95" i="5"/>
  <c r="L46" i="5"/>
  <c r="L64" i="5"/>
  <c r="L35" i="5"/>
  <c r="I10" i="3" l="1"/>
  <c r="I59" i="3"/>
  <c r="I17" i="3"/>
  <c r="I23" i="3"/>
  <c r="I27" i="3"/>
  <c r="I31" i="3"/>
  <c r="I35" i="3"/>
  <c r="I13" i="3"/>
  <c r="I5" i="3"/>
  <c r="I57" i="3"/>
  <c r="I19" i="3"/>
  <c r="I25" i="3"/>
  <c r="I29" i="3"/>
  <c r="I33" i="3"/>
  <c r="I37" i="3"/>
  <c r="I7" i="3"/>
  <c r="I9" i="3"/>
  <c r="I16" i="3"/>
  <c r="I22" i="3"/>
  <c r="I26" i="3"/>
  <c r="I30" i="3"/>
  <c r="I34" i="3"/>
  <c r="I38" i="3"/>
  <c r="I8" i="3"/>
  <c r="I24" i="3"/>
  <c r="I6" i="3"/>
  <c r="I28" i="3"/>
  <c r="I60" i="3"/>
  <c r="I32" i="3"/>
  <c r="I36" i="3"/>
  <c r="I18" i="3"/>
  <c r="K32" i="3"/>
  <c r="K36" i="3"/>
  <c r="K25" i="3"/>
  <c r="K29" i="3"/>
  <c r="K18" i="3"/>
  <c r="K7" i="3"/>
  <c r="K60" i="3"/>
  <c r="K34" i="3"/>
  <c r="K38" i="3"/>
  <c r="K27" i="3"/>
  <c r="K16" i="3"/>
  <c r="K13" i="3"/>
  <c r="K5" i="3"/>
  <c r="K57" i="3"/>
  <c r="K35" i="3"/>
  <c r="K31" i="3"/>
  <c r="K28" i="3"/>
  <c r="K17" i="3"/>
  <c r="K6" i="3"/>
  <c r="K33" i="3"/>
  <c r="K19" i="3"/>
  <c r="K37" i="3"/>
  <c r="K8" i="3"/>
  <c r="K26" i="3"/>
  <c r="K24" i="3"/>
  <c r="K59" i="3"/>
  <c r="F60" i="3"/>
  <c r="F8" i="3"/>
  <c r="F12" i="3"/>
  <c r="F18" i="3"/>
  <c r="F24" i="3"/>
  <c r="F28" i="3"/>
  <c r="F32" i="3"/>
  <c r="F36" i="3"/>
  <c r="F6" i="3"/>
  <c r="F10" i="3"/>
  <c r="F16" i="3"/>
  <c r="F22" i="3"/>
  <c r="F26" i="3"/>
  <c r="F30" i="3"/>
  <c r="F34" i="3"/>
  <c r="F38" i="3"/>
  <c r="F59" i="3"/>
  <c r="F7" i="3"/>
  <c r="F11" i="3"/>
  <c r="F17" i="3"/>
  <c r="F23" i="3"/>
  <c r="F27" i="3"/>
  <c r="F31" i="3"/>
  <c r="F35" i="3"/>
  <c r="F5" i="3"/>
  <c r="F13" i="3"/>
  <c r="F33" i="3"/>
  <c r="F19" i="3"/>
  <c r="F37" i="3"/>
  <c r="F57" i="3"/>
  <c r="F25" i="3"/>
  <c r="F9" i="3"/>
  <c r="F29" i="3"/>
  <c r="L59" i="3"/>
  <c r="L7" i="3"/>
  <c r="L11" i="3"/>
  <c r="L17" i="3"/>
  <c r="L23" i="3"/>
  <c r="L27" i="3"/>
  <c r="L31" i="3"/>
  <c r="L35" i="3"/>
  <c r="L5" i="3"/>
  <c r="L57" i="3"/>
  <c r="L9" i="3"/>
  <c r="L13" i="3"/>
  <c r="L19" i="3"/>
  <c r="L25" i="3"/>
  <c r="L29" i="3"/>
  <c r="L33" i="3"/>
  <c r="L37" i="3"/>
  <c r="L6" i="3"/>
  <c r="L10" i="3"/>
  <c r="L16" i="3"/>
  <c r="L22" i="3"/>
  <c r="L26" i="3"/>
  <c r="L30" i="3"/>
  <c r="L34" i="3"/>
  <c r="L38" i="3"/>
  <c r="L8" i="3"/>
  <c r="L28" i="3"/>
  <c r="L12" i="3"/>
  <c r="L32" i="3"/>
  <c r="L18" i="3"/>
  <c r="L36" i="3"/>
  <c r="L60" i="3"/>
  <c r="L24" i="3"/>
  <c r="E59" i="3"/>
  <c r="E7" i="3"/>
  <c r="E57" i="3"/>
  <c r="E6" i="3"/>
  <c r="E9" i="3"/>
  <c r="E13" i="3"/>
  <c r="E19" i="3"/>
  <c r="E25" i="3"/>
  <c r="E29" i="3"/>
  <c r="E33" i="3"/>
  <c r="E37" i="3"/>
  <c r="E10" i="3"/>
  <c r="E16" i="3"/>
  <c r="E22" i="3"/>
  <c r="E26" i="3"/>
  <c r="E30" i="3"/>
  <c r="E34" i="3"/>
  <c r="E38" i="3"/>
  <c r="E60" i="3"/>
  <c r="E11" i="3"/>
  <c r="E17" i="3"/>
  <c r="E23" i="3"/>
  <c r="E27" i="3"/>
  <c r="E31" i="3"/>
  <c r="E35" i="3"/>
  <c r="E5" i="3"/>
  <c r="E12" i="3"/>
  <c r="E32" i="3"/>
  <c r="E18" i="3"/>
  <c r="E36" i="3"/>
  <c r="E8" i="3"/>
  <c r="E24" i="3"/>
  <c r="E28" i="3"/>
  <c r="O6" i="3"/>
  <c r="O10" i="3"/>
  <c r="O16" i="3"/>
  <c r="O22" i="3"/>
  <c r="O26" i="3"/>
  <c r="O30" i="3"/>
  <c r="O34" i="3"/>
  <c r="O38" i="3"/>
  <c r="O59" i="3"/>
  <c r="O8" i="3"/>
  <c r="O12" i="3"/>
  <c r="O18" i="3"/>
  <c r="O24" i="3"/>
  <c r="O28" i="3"/>
  <c r="O32" i="3"/>
  <c r="O36" i="3"/>
  <c r="O60" i="3"/>
  <c r="O9" i="3"/>
  <c r="O13" i="3"/>
  <c r="O19" i="3"/>
  <c r="O25" i="3"/>
  <c r="O29" i="3"/>
  <c r="O33" i="3"/>
  <c r="O37" i="3"/>
  <c r="O11" i="3"/>
  <c r="O31" i="3"/>
  <c r="O17" i="3"/>
  <c r="O35" i="3"/>
  <c r="O57" i="3"/>
  <c r="O23" i="3"/>
  <c r="O5" i="3"/>
  <c r="O63" i="3" s="1"/>
  <c r="N37" i="2" s="1"/>
  <c r="O27" i="3"/>
  <c r="O7" i="3"/>
  <c r="H6" i="3"/>
  <c r="H10" i="3"/>
  <c r="H16" i="3"/>
  <c r="H22" i="3"/>
  <c r="H26" i="3"/>
  <c r="H30" i="3"/>
  <c r="H34" i="3"/>
  <c r="H38" i="3"/>
  <c r="H60" i="3"/>
  <c r="H8" i="3"/>
  <c r="H12" i="3"/>
  <c r="H18" i="3"/>
  <c r="H24" i="3"/>
  <c r="H28" i="3"/>
  <c r="H32" i="3"/>
  <c r="H36" i="3"/>
  <c r="H57" i="3"/>
  <c r="H9" i="3"/>
  <c r="H13" i="3"/>
  <c r="H19" i="3"/>
  <c r="H25" i="3"/>
  <c r="H29" i="3"/>
  <c r="H33" i="3"/>
  <c r="H37" i="3"/>
  <c r="H17" i="3"/>
  <c r="H35" i="3"/>
  <c r="H59" i="3"/>
  <c r="H23" i="3"/>
  <c r="H5" i="3"/>
  <c r="H7" i="3"/>
  <c r="H27" i="3"/>
  <c r="H11" i="3"/>
  <c r="H31" i="3"/>
  <c r="J60" i="3"/>
  <c r="J8" i="3"/>
  <c r="J12" i="3"/>
  <c r="J18" i="3"/>
  <c r="J24" i="3"/>
  <c r="J28" i="3"/>
  <c r="J32" i="3"/>
  <c r="J36" i="3"/>
  <c r="J6" i="3"/>
  <c r="J10" i="3"/>
  <c r="J16" i="3"/>
  <c r="J22" i="3"/>
  <c r="J26" i="3"/>
  <c r="J30" i="3"/>
  <c r="J34" i="3"/>
  <c r="J38" i="3"/>
  <c r="J59" i="3"/>
  <c r="J7" i="3"/>
  <c r="J11" i="3"/>
  <c r="J17" i="3"/>
  <c r="J23" i="3"/>
  <c r="J27" i="3"/>
  <c r="J31" i="3"/>
  <c r="J35" i="3"/>
  <c r="J5" i="3"/>
  <c r="J63" i="3" s="1"/>
  <c r="I37" i="2" s="1"/>
  <c r="J13" i="3"/>
  <c r="J33" i="3"/>
  <c r="J19" i="3"/>
  <c r="J37" i="3"/>
  <c r="J57" i="3"/>
  <c r="J25" i="3"/>
  <c r="J9" i="3"/>
  <c r="J29" i="3"/>
  <c r="G57" i="3"/>
  <c r="G9" i="3"/>
  <c r="G13" i="3"/>
  <c r="G19" i="3"/>
  <c r="G25" i="3"/>
  <c r="G29" i="3"/>
  <c r="G33" i="3"/>
  <c r="G37" i="3"/>
  <c r="G59" i="3"/>
  <c r="G7" i="3"/>
  <c r="G11" i="3"/>
  <c r="G17" i="3"/>
  <c r="G23" i="3"/>
  <c r="G27" i="3"/>
  <c r="G31" i="3"/>
  <c r="G35" i="3"/>
  <c r="G5" i="3"/>
  <c r="G60" i="3"/>
  <c r="G8" i="3"/>
  <c r="G12" i="3"/>
  <c r="G18" i="3"/>
  <c r="G24" i="3"/>
  <c r="G28" i="3"/>
  <c r="G32" i="3"/>
  <c r="G36" i="3"/>
  <c r="G16" i="3"/>
  <c r="G34" i="3"/>
  <c r="G22" i="3"/>
  <c r="G38" i="3"/>
  <c r="G6" i="3"/>
  <c r="G26" i="3"/>
  <c r="G30" i="3"/>
  <c r="G10" i="3"/>
  <c r="N57" i="3"/>
  <c r="N9" i="3"/>
  <c r="N13" i="3"/>
  <c r="N19" i="3"/>
  <c r="N25" i="3"/>
  <c r="N29" i="3"/>
  <c r="N33" i="3"/>
  <c r="N37" i="3"/>
  <c r="N59" i="3"/>
  <c r="N7" i="3"/>
  <c r="N11" i="3"/>
  <c r="N17" i="3"/>
  <c r="N23" i="3"/>
  <c r="N27" i="3"/>
  <c r="N31" i="3"/>
  <c r="N35" i="3"/>
  <c r="N5" i="3"/>
  <c r="N60" i="3"/>
  <c r="N8" i="3"/>
  <c r="N12" i="3"/>
  <c r="N18" i="3"/>
  <c r="N24" i="3"/>
  <c r="N28" i="3"/>
  <c r="N32" i="3"/>
  <c r="N36" i="3"/>
  <c r="N10" i="3"/>
  <c r="N30" i="3"/>
  <c r="N16" i="3"/>
  <c r="N34" i="3"/>
  <c r="N22" i="3"/>
  <c r="N38" i="3"/>
  <c r="N6" i="3"/>
  <c r="N26" i="3"/>
  <c r="D60" i="3"/>
  <c r="D18" i="3"/>
  <c r="D24" i="3"/>
  <c r="D28" i="3"/>
  <c r="D32" i="3"/>
  <c r="D36" i="3"/>
  <c r="D7" i="3"/>
  <c r="D11" i="3"/>
  <c r="D57" i="3"/>
  <c r="D19" i="3"/>
  <c r="B19" i="3" s="1"/>
  <c r="D25" i="3"/>
  <c r="D29" i="3"/>
  <c r="D33" i="3"/>
  <c r="D37" i="3"/>
  <c r="B37" i="3" s="1"/>
  <c r="D8" i="3"/>
  <c r="D12" i="3"/>
  <c r="D16" i="3"/>
  <c r="D22" i="3"/>
  <c r="D26" i="3"/>
  <c r="D30" i="3"/>
  <c r="D34" i="3"/>
  <c r="D38" i="3"/>
  <c r="D9" i="3"/>
  <c r="D13" i="3"/>
  <c r="D23" i="3"/>
  <c r="D6" i="3"/>
  <c r="B6" i="3" s="1"/>
  <c r="D27" i="3"/>
  <c r="D10" i="3"/>
  <c r="D35" i="3"/>
  <c r="D59" i="3"/>
  <c r="B59" i="3" s="1"/>
  <c r="D31" i="3"/>
  <c r="D5" i="3"/>
  <c r="L111" i="5"/>
  <c r="D17" i="3"/>
  <c r="M60" i="3"/>
  <c r="M8" i="3"/>
  <c r="M12" i="3"/>
  <c r="M18" i="3"/>
  <c r="M24" i="3"/>
  <c r="M28" i="3"/>
  <c r="M32" i="3"/>
  <c r="M36" i="3"/>
  <c r="M6" i="3"/>
  <c r="M10" i="3"/>
  <c r="M16" i="3"/>
  <c r="M22" i="3"/>
  <c r="M26" i="3"/>
  <c r="M30" i="3"/>
  <c r="M34" i="3"/>
  <c r="M38" i="3"/>
  <c r="M59" i="3"/>
  <c r="M7" i="3"/>
  <c r="M11" i="3"/>
  <c r="M17" i="3"/>
  <c r="M23" i="3"/>
  <c r="M27" i="3"/>
  <c r="M31" i="3"/>
  <c r="M35" i="3"/>
  <c r="M5" i="3"/>
  <c r="M9" i="3"/>
  <c r="M29" i="3"/>
  <c r="M13" i="3"/>
  <c r="M33" i="3"/>
  <c r="M19" i="3"/>
  <c r="M37" i="3"/>
  <c r="M25" i="3"/>
  <c r="M57" i="3"/>
  <c r="M63" i="3" l="1"/>
  <c r="L37" i="2" s="1"/>
  <c r="B31" i="3"/>
  <c r="B27" i="3"/>
  <c r="B9" i="3"/>
  <c r="B26" i="3"/>
  <c r="B8" i="3"/>
  <c r="B25" i="3"/>
  <c r="B7" i="3"/>
  <c r="B24" i="3"/>
  <c r="G63" i="3"/>
  <c r="F37" i="2" s="1"/>
  <c r="K63" i="3"/>
  <c r="J37" i="2" s="1"/>
  <c r="B38" i="3"/>
  <c r="B18" i="3"/>
  <c r="L63" i="3"/>
  <c r="K37" i="2" s="1"/>
  <c r="B35" i="3"/>
  <c r="B23" i="3"/>
  <c r="B34" i="3"/>
  <c r="B16" i="3"/>
  <c r="B33" i="3"/>
  <c r="B57" i="3"/>
  <c r="B32" i="3"/>
  <c r="B60" i="3"/>
  <c r="H63" i="3"/>
  <c r="G37" i="2" s="1"/>
  <c r="F63" i="3"/>
  <c r="E37" i="2" s="1"/>
  <c r="B17" i="3"/>
  <c r="B22" i="3"/>
  <c r="B36" i="3"/>
  <c r="B5" i="3"/>
  <c r="D63" i="3"/>
  <c r="C37" i="2" s="1"/>
  <c r="B10" i="3"/>
  <c r="B13" i="3"/>
  <c r="B30" i="3"/>
  <c r="B12" i="3"/>
  <c r="B29" i="3"/>
  <c r="B11" i="3"/>
  <c r="B28" i="3"/>
  <c r="N63" i="3"/>
  <c r="M37" i="2" s="1"/>
  <c r="E63" i="3"/>
  <c r="D37" i="2" s="1"/>
  <c r="I63" i="3"/>
  <c r="H37" i="2" s="1"/>
  <c r="B63" i="3" l="1"/>
  <c r="B37" i="2" s="1"/>
</calcChain>
</file>

<file path=xl/sharedStrings.xml><?xml version="1.0" encoding="utf-8"?>
<sst xmlns="http://schemas.openxmlformats.org/spreadsheetml/2006/main" count="250" uniqueCount="187">
  <si>
    <t>Production en amont</t>
  </si>
  <si>
    <t xml:space="preserve">Accueil des artistes </t>
  </si>
  <si>
    <t>Mise en place et accueil technique</t>
  </si>
  <si>
    <t>Communication</t>
  </si>
  <si>
    <t>Résidences
thématiques</t>
  </si>
  <si>
    <t>Direction artistique  programmation</t>
  </si>
  <si>
    <t>Recherche de financements spécifiques</t>
  </si>
  <si>
    <t>Conseils en production/ résidence de création</t>
  </si>
  <si>
    <t>Mise en place et diffusion</t>
  </si>
  <si>
    <t>Recherche  finances</t>
  </si>
  <si>
    <t>Gestion admin</t>
  </si>
  <si>
    <t>Educ pop</t>
  </si>
  <si>
    <t>Gestion administrative et aide vente de prestation</t>
  </si>
  <si>
    <t>Portage et conseils</t>
  </si>
  <si>
    <t>Aide vente prestation et aide montage projet éduc pop</t>
  </si>
  <si>
    <t>Comm</t>
  </si>
  <si>
    <t>Assistance technique</t>
  </si>
  <si>
    <t xml:space="preserve">Evénements
</t>
  </si>
  <si>
    <t>Programmation, préparation artistique</t>
  </si>
  <si>
    <t>Gestion contrats, paye et production</t>
  </si>
  <si>
    <t>Accueil technique montage/démontage</t>
  </si>
  <si>
    <t>Accueil du public</t>
  </si>
  <si>
    <t>Bar</t>
  </si>
  <si>
    <t>Animation Môle et mise à dispo lieux aux partenaires</t>
  </si>
  <si>
    <t>Contact assos</t>
  </si>
  <si>
    <t>Convention et Paf</t>
  </si>
  <si>
    <t>Valorisation comm</t>
  </si>
  <si>
    <t>Location
et mécénat</t>
  </si>
  <si>
    <t>Prospection</t>
  </si>
  <si>
    <t>Centre de
formation</t>
  </si>
  <si>
    <t>Programme pédago</t>
  </si>
  <si>
    <t>Technique</t>
  </si>
  <si>
    <t xml:space="preserve">Cantine
</t>
  </si>
  <si>
    <t>Cuisine</t>
  </si>
  <si>
    <t>Admin</t>
  </si>
  <si>
    <t>Service</t>
  </si>
  <si>
    <t>Prorata</t>
    <phoneticPr fontId="2" type="noConversion"/>
  </si>
  <si>
    <t>Charges fonctionnement</t>
    <phoneticPr fontId="2" type="noConversion"/>
  </si>
  <si>
    <t>Participation aux fluides (12 mois)</t>
    <phoneticPr fontId="2" type="noConversion"/>
  </si>
  <si>
    <t>Cantine</t>
    <phoneticPr fontId="2" type="noConversion"/>
  </si>
  <si>
    <t>Cantine</t>
    <phoneticPr fontId="2" type="noConversion"/>
  </si>
  <si>
    <t>Chargé de communication mutualisé</t>
    <phoneticPr fontId="2" type="noConversion"/>
  </si>
  <si>
    <t>Chargée de production / éducation populaire</t>
    <phoneticPr fontId="2" type="noConversion"/>
  </si>
  <si>
    <t>Résidences thématiques</t>
  </si>
  <si>
    <t>Résidences brèves</t>
    <phoneticPr fontId="2" type="noConversion"/>
  </si>
  <si>
    <t>Centre de formation</t>
    <phoneticPr fontId="2" type="noConversion"/>
  </si>
  <si>
    <t xml:space="preserve">TOTAL </t>
    <phoneticPr fontId="2" type="noConversion"/>
  </si>
  <si>
    <t>Sorties de résidences, expos, portes ouvertes, MIS… (12 evts)</t>
    <phoneticPr fontId="2" type="noConversion"/>
  </si>
  <si>
    <t>Résidences brèves</t>
    <phoneticPr fontId="2" type="noConversion"/>
  </si>
  <si>
    <t>Sorties de résidences, expos, portes ouvertes, MIS… (12 etvs)</t>
    <phoneticPr fontId="2" type="noConversion"/>
  </si>
  <si>
    <t>Centre de formation</t>
    <phoneticPr fontId="2" type="noConversion"/>
  </si>
  <si>
    <t>Direction</t>
  </si>
  <si>
    <t>Gestion A</t>
  </si>
  <si>
    <t>Chargée production admin (paye et intendance)</t>
  </si>
  <si>
    <t>Chargé comm</t>
  </si>
  <si>
    <t>Chargé éducation pop</t>
  </si>
  <si>
    <t>Directeur technique</t>
  </si>
  <si>
    <t>Assistant technique</t>
  </si>
  <si>
    <t>Chargé de production accueil artistes et scéno</t>
  </si>
  <si>
    <t>Bénévoles</t>
  </si>
  <si>
    <t>TOTAUX</t>
  </si>
  <si>
    <t>Grand total
gestion + actions</t>
  </si>
  <si>
    <t>cout horaire</t>
  </si>
  <si>
    <t>0.00 €</t>
  </si>
  <si>
    <t>coût annuel</t>
  </si>
  <si>
    <t>Total
gestion générale</t>
  </si>
  <si>
    <t>Écriture et défense projet</t>
  </si>
  <si>
    <t>Recherche de fonds</t>
  </si>
  <si>
    <t>Admini géné</t>
  </si>
  <si>
    <t>Comm géné</t>
  </si>
  <si>
    <t>TEOM</t>
  </si>
  <si>
    <t>Vie associative</t>
  </si>
  <si>
    <t>Total
actions</t>
  </si>
  <si>
    <t>Résidences
longues</t>
  </si>
  <si>
    <t>Sélection accueil admin</t>
  </si>
  <si>
    <t>Accompagnement/intégration</t>
  </si>
  <si>
    <t xml:space="preserve">Entretien </t>
  </si>
  <si>
    <t>Comm (promo services)</t>
  </si>
  <si>
    <t>Comm (valorisation service)</t>
  </si>
  <si>
    <t xml:space="preserve">Résidences
brèves </t>
  </si>
  <si>
    <t>Accueil</t>
  </si>
  <si>
    <t>Accompagnement</t>
  </si>
  <si>
    <t xml:space="preserve">Administration </t>
  </si>
  <si>
    <t>Accueil technique</t>
  </si>
  <si>
    <t>Comm (promo service)</t>
  </si>
  <si>
    <t>Résidences
MIS</t>
  </si>
  <si>
    <t>Direction artistique et programmation</t>
  </si>
  <si>
    <t>Recherche financements spécifiques</t>
  </si>
  <si>
    <t>Recherche de partenaires</t>
  </si>
  <si>
    <t>Mobilisation des publics et éduc pop</t>
  </si>
  <si>
    <t>Restaurant et nourriture artistes</t>
  </si>
  <si>
    <t>Missions et réceptions</t>
  </si>
  <si>
    <t>Poste</t>
  </si>
  <si>
    <t>Télécommunications</t>
  </si>
  <si>
    <t>Services bancaires</t>
  </si>
  <si>
    <t>Cotisations autres organismes</t>
  </si>
  <si>
    <t>Impôts taxes et versements assimilés</t>
  </si>
  <si>
    <t>Hébergement site Internet</t>
    <phoneticPr fontId="2" type="noConversion"/>
  </si>
  <si>
    <t>INVT Espaces de travail</t>
    <phoneticPr fontId="2" type="noConversion"/>
  </si>
  <si>
    <t>INVT matériel technique</t>
    <phoneticPr fontId="2" type="noConversion"/>
  </si>
  <si>
    <t>Durée d'amortissement</t>
    <phoneticPr fontId="2" type="noConversion"/>
  </si>
  <si>
    <t>Montant total</t>
    <phoneticPr fontId="2" type="noConversion"/>
  </si>
  <si>
    <t>Amort. Annuel</t>
    <phoneticPr fontId="2" type="noConversion"/>
  </si>
  <si>
    <t>Dotations aux amorts et prov. Espaces travail</t>
    <phoneticPr fontId="2" type="noConversion"/>
  </si>
  <si>
    <t>Dotations aux amorts et prov. Matériel tech</t>
    <phoneticPr fontId="2" type="noConversion"/>
  </si>
  <si>
    <t>Aide ASP (emploi d'avenir)</t>
    <phoneticPr fontId="2" type="noConversion"/>
  </si>
  <si>
    <t>Assistant technique (Emploi d'avenir)</t>
    <phoneticPr fontId="2" type="noConversion"/>
  </si>
  <si>
    <t>Charges de personnel TCC</t>
    <phoneticPr fontId="2" type="noConversion"/>
  </si>
  <si>
    <t>Directeur technique permanent</t>
    <phoneticPr fontId="2" type="noConversion"/>
  </si>
  <si>
    <t>Chargé de production / programmation</t>
    <phoneticPr fontId="2" type="noConversion"/>
  </si>
  <si>
    <t>Administrateur</t>
    <phoneticPr fontId="2" type="noConversion"/>
  </si>
  <si>
    <t xml:space="preserve">Maintenance </t>
  </si>
  <si>
    <t>Quote part sub invest affectée au compte résultat</t>
  </si>
  <si>
    <t>Valorisation bénévolat</t>
  </si>
  <si>
    <t>Valorisation du bénévolat</t>
  </si>
  <si>
    <t>Mise à disposition locaux</t>
    <phoneticPr fontId="2" type="noConversion"/>
  </si>
  <si>
    <t>Droits d'auteur</t>
    <phoneticPr fontId="2" type="noConversion"/>
  </si>
  <si>
    <t>Vente de boissons et restauration (base coeff 2)</t>
    <phoneticPr fontId="2" type="noConversion"/>
  </si>
  <si>
    <t>Achats de nourriture - catering</t>
    <phoneticPr fontId="2" type="noConversion"/>
  </si>
  <si>
    <t xml:space="preserve">TOTAL </t>
    <phoneticPr fontId="2" type="noConversion"/>
  </si>
  <si>
    <t>CHARGES</t>
  </si>
  <si>
    <t>PRODUITS</t>
  </si>
  <si>
    <t>Achats</t>
  </si>
  <si>
    <t>Production vendue</t>
  </si>
  <si>
    <t>Fournitures d'eau</t>
  </si>
  <si>
    <t>Fournitures d'électricité</t>
  </si>
  <si>
    <t>Vente de spectacles et prestations artistiques</t>
  </si>
  <si>
    <t>Fournitures d'entretien et petit équipement</t>
  </si>
  <si>
    <t>Billetterie</t>
  </si>
  <si>
    <t>Fournitures administratives</t>
  </si>
  <si>
    <t>Co-productions projets</t>
  </si>
  <si>
    <t>Achat de boissons pour revente</t>
  </si>
  <si>
    <t>Inscriptions aux ateliers</t>
  </si>
  <si>
    <t>Achat de nourriture pour revente</t>
  </si>
  <si>
    <t>Subventions d'exploitation</t>
  </si>
  <si>
    <t>Matériel de production</t>
  </si>
  <si>
    <t>Matériel informatique</t>
  </si>
  <si>
    <t>Services extérieurs</t>
  </si>
  <si>
    <t>Location de locaux</t>
  </si>
  <si>
    <t>DEPARTEMENT</t>
  </si>
  <si>
    <t>Location de matériel</t>
  </si>
  <si>
    <t>Assurances</t>
  </si>
  <si>
    <t>Autres produits</t>
  </si>
  <si>
    <t>Cotisations</t>
  </si>
  <si>
    <t>Autres services extérieurs</t>
  </si>
  <si>
    <t>Achat de spectacles</t>
  </si>
  <si>
    <t>Produits exceptionnels</t>
  </si>
  <si>
    <t>Prestations de services</t>
  </si>
  <si>
    <t xml:space="preserve">Honoraires Comptable </t>
  </si>
  <si>
    <t>TOTAL PRODUITS</t>
  </si>
  <si>
    <t>Honoraires Commissaire aux comptes</t>
  </si>
  <si>
    <t>Impressions documents de com</t>
  </si>
  <si>
    <t>Photocopies</t>
  </si>
  <si>
    <t>Transport des bénévoles</t>
  </si>
  <si>
    <t>Transport du personnel et artistes</t>
  </si>
  <si>
    <t>Hébergement</t>
  </si>
  <si>
    <t>Résidences conventionnées</t>
    <phoneticPr fontId="2" type="noConversion"/>
  </si>
  <si>
    <t>Résidences thématiques</t>
    <phoneticPr fontId="2" type="noConversion"/>
  </si>
  <si>
    <t>Financement de résidences</t>
    <phoneticPr fontId="2" type="noConversion"/>
  </si>
  <si>
    <t>Visibilité artistique</t>
    <phoneticPr fontId="2" type="noConversion"/>
  </si>
  <si>
    <t>Conseil en production</t>
    <phoneticPr fontId="2" type="noConversion"/>
  </si>
  <si>
    <t>Résidence MIS</t>
    <phoneticPr fontId="2" type="noConversion"/>
  </si>
  <si>
    <t>Gestion administrative de projets d'artistes</t>
    <phoneticPr fontId="2" type="noConversion"/>
  </si>
  <si>
    <t>Directrice permanente</t>
    <phoneticPr fontId="2" type="noConversion"/>
  </si>
  <si>
    <t>Charges financières</t>
  </si>
  <si>
    <t>Intérêts des emprunts et dettes</t>
  </si>
  <si>
    <t>TOTAL CHARGES</t>
  </si>
  <si>
    <t>Ville de Dunkerque</t>
  </si>
  <si>
    <t xml:space="preserve">REGION Culture résidences </t>
    <phoneticPr fontId="2" type="noConversion"/>
  </si>
  <si>
    <t>Transversal programme d'activités</t>
    <phoneticPr fontId="2" type="noConversion"/>
  </si>
  <si>
    <t>Vie du môle</t>
    <phoneticPr fontId="2" type="noConversion"/>
  </si>
  <si>
    <t>Transversal programme d'activités</t>
    <phoneticPr fontId="2" type="noConversion"/>
  </si>
  <si>
    <t>REGION Culture programme d'activités</t>
    <phoneticPr fontId="2" type="noConversion"/>
  </si>
  <si>
    <t>REGION Enseignement recherches</t>
    <phoneticPr fontId="2" type="noConversion"/>
  </si>
  <si>
    <t>CUD Culture</t>
    <phoneticPr fontId="2" type="noConversion"/>
  </si>
  <si>
    <t>CUD Culture augmentation</t>
    <phoneticPr fontId="2" type="noConversion"/>
  </si>
  <si>
    <t>Produits financiers</t>
    <phoneticPr fontId="2" type="noConversion"/>
  </si>
  <si>
    <t>Placements bancaires</t>
    <phoneticPr fontId="2" type="noConversion"/>
  </si>
  <si>
    <t>Autres</t>
    <phoneticPr fontId="2" type="noConversion"/>
  </si>
  <si>
    <t>Personnel artistique</t>
    <phoneticPr fontId="2" type="noConversion"/>
  </si>
  <si>
    <t>Stagiaires</t>
    <phoneticPr fontId="2" type="noConversion"/>
  </si>
  <si>
    <t>Personnel technique événements</t>
    <phoneticPr fontId="2" type="noConversion"/>
  </si>
  <si>
    <t>SOLDE PRODUITS - CHARGES</t>
    <phoneticPr fontId="2" type="noConversion"/>
  </si>
  <si>
    <t>Honoraires Graphiste</t>
    <phoneticPr fontId="2" type="noConversion"/>
  </si>
  <si>
    <t>Mise à disposition de locaux aux associations locales</t>
    <phoneticPr fontId="2" type="noConversion"/>
  </si>
  <si>
    <t>Relation aux entreprises</t>
    <phoneticPr fontId="2" type="noConversion"/>
  </si>
  <si>
    <t>Administratrice de production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</si>
</sst>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€&quot;* #,##0.00_);_(&quot;€&quot;* \(#,##0.00\);_(&quot;€&quot;* &quot;-&quot;??_);_(@_)"/>
    <numFmt numFmtId="165" formatCode="#,##0.00&quot;€&quot;;[Red]#,##0.00&quot;€&quot;"/>
  </numFmts>
  <fonts count="12" x14ac:knownFonts="1">
    <font>
      <sz val="10"/>
      <name val="Arial"/>
      <family val="2"/>
    </font>
    <font>
      <sz val="11"/>
      <name val="Arial"/>
      <family val="2"/>
    </font>
    <font>
      <sz val="8"/>
      <name val="Verdana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  <charset val="1"/>
    </font>
    <font>
      <sz val="8"/>
      <color indexed="8"/>
      <name val="Arial"/>
      <family val="2"/>
      <charset val="1"/>
    </font>
    <font>
      <i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13"/>
      </patternFill>
    </fill>
    <fill>
      <patternFill patternType="solid">
        <fgColor indexed="22"/>
        <bgColor indexed="53"/>
      </patternFill>
    </fill>
    <fill>
      <patternFill patternType="solid">
        <fgColor indexed="42"/>
        <bgColor indexed="22"/>
      </patternFill>
    </fill>
    <fill>
      <patternFill patternType="solid">
        <fgColor indexed="52"/>
        <bgColor indexed="53"/>
      </patternFill>
    </fill>
    <fill>
      <patternFill patternType="solid">
        <fgColor indexed="13"/>
        <bgColor indexed="34"/>
      </patternFill>
    </fill>
    <fill>
      <patternFill patternType="solid">
        <fgColor indexed="46"/>
        <bgColor indexed="22"/>
      </patternFill>
    </fill>
    <fill>
      <patternFill patternType="solid">
        <fgColor indexed="53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13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8" fillId="0" borderId="0"/>
  </cellStyleXfs>
  <cellXfs count="10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2" xfId="0" applyFont="1" applyBorder="1"/>
    <xf numFmtId="0" fontId="1" fillId="0" borderId="2" xfId="0" applyFont="1" applyBorder="1"/>
    <xf numFmtId="0" fontId="1" fillId="0" borderId="8" xfId="0" applyFont="1" applyBorder="1"/>
    <xf numFmtId="0" fontId="3" fillId="0" borderId="2" xfId="0" applyFont="1" applyBorder="1" applyAlignment="1">
      <alignment wrapText="1"/>
    </xf>
    <xf numFmtId="4" fontId="1" fillId="0" borderId="0" xfId="0" applyNumberFormat="1" applyFont="1"/>
    <xf numFmtId="0" fontId="3" fillId="0" borderId="7" xfId="0" applyFont="1" applyBorder="1"/>
    <xf numFmtId="0" fontId="1" fillId="0" borderId="7" xfId="0" applyFont="1" applyBorder="1"/>
    <xf numFmtId="0" fontId="1" fillId="0" borderId="12" xfId="0" applyFont="1" applyBorder="1"/>
    <xf numFmtId="0" fontId="3" fillId="3" borderId="6" xfId="0" applyFont="1" applyFill="1" applyBorder="1"/>
    <xf numFmtId="164" fontId="3" fillId="0" borderId="7" xfId="0" applyNumberFormat="1" applyFont="1" applyBorder="1"/>
    <xf numFmtId="164" fontId="1" fillId="0" borderId="7" xfId="0" applyNumberFormat="1" applyFont="1" applyBorder="1"/>
    <xf numFmtId="164" fontId="1" fillId="0" borderId="2" xfId="0" applyNumberFormat="1" applyFont="1" applyBorder="1"/>
    <xf numFmtId="164" fontId="3" fillId="0" borderId="2" xfId="0" applyNumberFormat="1" applyFont="1" applyBorder="1"/>
    <xf numFmtId="164" fontId="1" fillId="0" borderId="13" xfId="0" applyNumberFormat="1" applyFont="1" applyBorder="1"/>
    <xf numFmtId="164" fontId="3" fillId="3" borderId="6" xfId="0" applyNumberFormat="1" applyFont="1" applyFill="1" applyBorder="1"/>
    <xf numFmtId="0" fontId="3" fillId="5" borderId="3" xfId="0" applyFont="1" applyFill="1" applyBorder="1" applyAlignment="1">
      <alignment horizontal="center" vertical="center" wrapText="1"/>
    </xf>
    <xf numFmtId="164" fontId="1" fillId="0" borderId="0" xfId="0" applyNumberFormat="1" applyFont="1"/>
    <xf numFmtId="164" fontId="1" fillId="0" borderId="2" xfId="0" applyNumberFormat="1" applyFont="1" applyBorder="1"/>
    <xf numFmtId="164" fontId="3" fillId="5" borderId="2" xfId="0" applyNumberFormat="1" applyFont="1" applyFill="1" applyBorder="1"/>
    <xf numFmtId="0" fontId="1" fillId="0" borderId="0" xfId="0" applyFont="1" applyAlignment="1">
      <alignment horizontal="center" wrapText="1"/>
    </xf>
    <xf numFmtId="164" fontId="1" fillId="0" borderId="11" xfId="0" applyNumberFormat="1" applyFont="1" applyBorder="1"/>
    <xf numFmtId="164" fontId="3" fillId="5" borderId="3" xfId="0" applyNumberFormat="1" applyFont="1" applyFill="1" applyBorder="1"/>
    <xf numFmtId="164" fontId="3" fillId="5" borderId="3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Border="1"/>
    <xf numFmtId="164" fontId="3" fillId="0" borderId="14" xfId="0" applyNumberFormat="1" applyFont="1" applyBorder="1"/>
    <xf numFmtId="164" fontId="1" fillId="0" borderId="14" xfId="0" applyNumberFormat="1" applyFont="1" applyBorder="1"/>
    <xf numFmtId="164" fontId="1" fillId="0" borderId="16" xfId="0" applyNumberFormat="1" applyFont="1" applyBorder="1"/>
    <xf numFmtId="164" fontId="3" fillId="0" borderId="15" xfId="0" applyNumberFormat="1" applyFont="1" applyBorder="1"/>
    <xf numFmtId="164" fontId="3" fillId="4" borderId="14" xfId="0" applyNumberFormat="1" applyFont="1" applyFill="1" applyBorder="1"/>
    <xf numFmtId="164" fontId="1" fillId="0" borderId="14" xfId="0" applyNumberFormat="1" applyFont="1" applyBorder="1" applyAlignment="1">
      <alignment wrapText="1"/>
    </xf>
    <xf numFmtId="0" fontId="3" fillId="5" borderId="9" xfId="0" applyFont="1" applyFill="1" applyBorder="1" applyAlignment="1">
      <alignment horizontal="center" vertical="center" wrapText="1"/>
    </xf>
    <xf numFmtId="164" fontId="3" fillId="5" borderId="9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/>
    <xf numFmtId="164" fontId="4" fillId="0" borderId="0" xfId="0" applyNumberFormat="1" applyFont="1"/>
    <xf numFmtId="165" fontId="0" fillId="0" borderId="0" xfId="0" applyNumberFormat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0" fontId="1" fillId="0" borderId="17" xfId="0" applyFont="1" applyBorder="1"/>
    <xf numFmtId="164" fontId="1" fillId="0" borderId="2" xfId="0" applyNumberFormat="1" applyFont="1" applyBorder="1" applyAlignment="1">
      <alignment wrapText="1"/>
    </xf>
    <xf numFmtId="164" fontId="1" fillId="0" borderId="8" xfId="0" applyNumberFormat="1" applyFont="1" applyBorder="1"/>
    <xf numFmtId="3" fontId="7" fillId="0" borderId="1" xfId="2" applyNumberFormat="1" applyFont="1" applyBorder="1" applyAlignment="1">
      <alignment horizontal="left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3" fontId="7" fillId="2" borderId="1" xfId="2" applyNumberFormat="1" applyFont="1" applyFill="1" applyBorder="1" applyAlignment="1">
      <alignment horizontal="left" vertical="center" wrapText="1"/>
    </xf>
    <xf numFmtId="3" fontId="7" fillId="2" borderId="1" xfId="2" applyNumberFormat="1" applyFont="1" applyFill="1" applyBorder="1" applyAlignment="1">
      <alignment horizontal="right" vertical="center" wrapText="1"/>
    </xf>
    <xf numFmtId="164" fontId="9" fillId="7" borderId="1" xfId="1" applyFont="1" applyFill="1" applyBorder="1" applyAlignment="1">
      <alignment horizontal="left" vertical="center" wrapText="1"/>
    </xf>
    <xf numFmtId="164" fontId="9" fillId="7" borderId="1" xfId="1" applyFont="1" applyFill="1" applyBorder="1" applyAlignment="1">
      <alignment horizontal="right" vertical="center" wrapText="1"/>
    </xf>
    <xf numFmtId="164" fontId="9" fillId="7" borderId="1" xfId="1" quotePrefix="1" applyFont="1" applyFill="1" applyBorder="1" applyAlignment="1">
      <alignment horizontal="right" vertical="center" wrapText="1"/>
    </xf>
    <xf numFmtId="164" fontId="10" fillId="7" borderId="1" xfId="1" applyFont="1" applyFill="1" applyBorder="1" applyAlignment="1">
      <alignment horizontal="left" vertical="center" wrapText="1"/>
    </xf>
    <xf numFmtId="164" fontId="10" fillId="7" borderId="1" xfId="1" applyFont="1" applyFill="1" applyBorder="1" applyAlignment="1">
      <alignment horizontal="right" vertical="center" wrapText="1"/>
    </xf>
    <xf numFmtId="3" fontId="11" fillId="0" borderId="0" xfId="2" applyNumberFormat="1" applyFont="1" applyFill="1" applyBorder="1" applyAlignment="1">
      <alignment horizontal="left" vertical="center" wrapText="1"/>
    </xf>
    <xf numFmtId="3" fontId="11" fillId="0" borderId="0" xfId="2" applyNumberFormat="1" applyFont="1" applyFill="1" applyBorder="1" applyAlignment="1">
      <alignment horizontal="right" vertical="center" wrapText="1"/>
    </xf>
    <xf numFmtId="3" fontId="7" fillId="9" borderId="1" xfId="2" applyNumberFormat="1" applyFont="1" applyFill="1" applyBorder="1" applyAlignment="1">
      <alignment horizontal="left" vertical="center" wrapText="1"/>
    </xf>
    <xf numFmtId="3" fontId="7" fillId="9" borderId="1" xfId="2" applyNumberFormat="1" applyFont="1" applyFill="1" applyBorder="1" applyAlignment="1">
      <alignment horizontal="right" vertical="center" wrapText="1"/>
    </xf>
    <xf numFmtId="3" fontId="11" fillId="0" borderId="1" xfId="2" applyNumberFormat="1" applyFont="1" applyBorder="1" applyAlignment="1">
      <alignment horizontal="left" vertical="center" wrapText="1"/>
    </xf>
    <xf numFmtId="3" fontId="11" fillId="0" borderId="1" xfId="2" applyNumberFormat="1" applyFont="1" applyBorder="1" applyAlignment="1">
      <alignment horizontal="right" vertical="center" wrapText="1"/>
    </xf>
    <xf numFmtId="3" fontId="11" fillId="0" borderId="0" xfId="2" applyNumberFormat="1" applyFont="1" applyBorder="1" applyAlignment="1">
      <alignment horizontal="left" vertical="center" wrapText="1"/>
    </xf>
    <xf numFmtId="3" fontId="11" fillId="0" borderId="0" xfId="2" applyNumberFormat="1" applyFont="1" applyBorder="1" applyAlignment="1">
      <alignment horizontal="right" vertical="center" wrapText="1"/>
    </xf>
    <xf numFmtId="3" fontId="7" fillId="8" borderId="1" xfId="2" applyNumberFormat="1" applyFont="1" applyFill="1" applyBorder="1" applyAlignment="1">
      <alignment horizontal="left" vertical="center" wrapText="1"/>
    </xf>
    <xf numFmtId="3" fontId="7" fillId="8" borderId="1" xfId="2" applyNumberFormat="1" applyFont="1" applyFill="1" applyBorder="1" applyAlignment="1">
      <alignment horizontal="right" vertical="center" wrapText="1"/>
    </xf>
    <xf numFmtId="3" fontId="7" fillId="10" borderId="1" xfId="2" applyNumberFormat="1" applyFont="1" applyFill="1" applyBorder="1" applyAlignment="1">
      <alignment horizontal="left" vertical="center" wrapText="1"/>
    </xf>
    <xf numFmtId="3" fontId="7" fillId="10" borderId="1" xfId="2" applyNumberFormat="1" applyFont="1" applyFill="1" applyBorder="1" applyAlignment="1">
      <alignment horizontal="right" vertical="center" wrapText="1"/>
    </xf>
    <xf numFmtId="3" fontId="11" fillId="0" borderId="1" xfId="2" applyNumberFormat="1" applyFont="1" applyFill="1" applyBorder="1" applyAlignment="1">
      <alignment horizontal="left" vertical="center" wrapText="1"/>
    </xf>
    <xf numFmtId="3" fontId="11" fillId="0" borderId="1" xfId="2" applyNumberFormat="1" applyFont="1" applyFill="1" applyBorder="1" applyAlignment="1">
      <alignment horizontal="right" vertical="center" wrapText="1"/>
    </xf>
    <xf numFmtId="3" fontId="7" fillId="12" borderId="1" xfId="2" applyNumberFormat="1" applyFont="1" applyFill="1" applyBorder="1" applyAlignment="1">
      <alignment horizontal="left" vertical="center" wrapText="1"/>
    </xf>
    <xf numFmtId="3" fontId="7" fillId="12" borderId="1" xfId="2" applyNumberFormat="1" applyFont="1" applyFill="1" applyBorder="1" applyAlignment="1">
      <alignment horizontal="right" vertical="center" wrapText="1"/>
    </xf>
    <xf numFmtId="3" fontId="7" fillId="11" borderId="1" xfId="2" applyNumberFormat="1" applyFont="1" applyFill="1" applyBorder="1" applyAlignment="1">
      <alignment horizontal="left" vertical="center" wrapText="1"/>
    </xf>
    <xf numFmtId="3" fontId="7" fillId="11" borderId="1" xfId="2" applyNumberFormat="1" applyFont="1" applyFill="1" applyBorder="1" applyAlignment="1">
      <alignment horizontal="right" vertical="center" wrapText="1"/>
    </xf>
    <xf numFmtId="3" fontId="7" fillId="13" borderId="1" xfId="2" applyNumberFormat="1" applyFont="1" applyFill="1" applyBorder="1" applyAlignment="1">
      <alignment horizontal="left" vertical="center" wrapText="1"/>
    </xf>
    <xf numFmtId="3" fontId="7" fillId="13" borderId="1" xfId="2" applyNumberFormat="1" applyFont="1" applyFill="1" applyBorder="1" applyAlignment="1">
      <alignment horizontal="right" vertical="center" wrapText="1"/>
    </xf>
    <xf numFmtId="3" fontId="7" fillId="14" borderId="1" xfId="2" applyNumberFormat="1" applyFont="1" applyFill="1" applyBorder="1" applyAlignment="1">
      <alignment horizontal="left" vertical="center" wrapText="1"/>
    </xf>
    <xf numFmtId="3" fontId="7" fillId="14" borderId="1" xfId="2" applyNumberFormat="1" applyFont="1" applyFill="1" applyBorder="1" applyAlignment="1">
      <alignment horizontal="right" vertical="center" wrapText="1"/>
    </xf>
    <xf numFmtId="3" fontId="7" fillId="3" borderId="1" xfId="2" applyNumberFormat="1" applyFont="1" applyFill="1" applyBorder="1" applyAlignment="1">
      <alignment horizontal="left" vertical="center" wrapText="1"/>
    </xf>
    <xf numFmtId="3" fontId="7" fillId="3" borderId="1" xfId="2" applyNumberFormat="1" applyFont="1" applyFill="1" applyBorder="1" applyAlignment="1">
      <alignment horizontal="right" vertical="center" wrapText="1"/>
    </xf>
    <xf numFmtId="164" fontId="1" fillId="0" borderId="0" xfId="0" applyNumberFormat="1" applyFont="1" applyAlignment="1">
      <alignment wrapText="1"/>
    </xf>
    <xf numFmtId="10" fontId="6" fillId="0" borderId="18" xfId="2" applyNumberFormat="1" applyFont="1" applyFill="1" applyBorder="1" applyAlignment="1">
      <alignment horizontal="center" vertical="center" wrapText="1"/>
    </xf>
    <xf numFmtId="10" fontId="6" fillId="0" borderId="0" xfId="0" applyNumberFormat="1" applyFont="1" applyBorder="1"/>
    <xf numFmtId="10" fontId="6" fillId="0" borderId="18" xfId="2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3" fillId="5" borderId="3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1" fillId="0" borderId="9" xfId="0" applyFont="1" applyBorder="1" applyAlignment="1"/>
    <xf numFmtId="0" fontId="3" fillId="6" borderId="10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3" fillId="5" borderId="6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3" fillId="15" borderId="10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164" fontId="3" fillId="6" borderId="10" xfId="0" applyNumberFormat="1" applyFont="1" applyFill="1" applyBorder="1" applyAlignment="1">
      <alignment horizontal="left" vertical="center" wrapText="1"/>
    </xf>
    <xf numFmtId="164" fontId="0" fillId="0" borderId="9" xfId="0" applyNumberFormat="1" applyBorder="1" applyAlignment="1">
      <alignment horizontal="left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164" fontId="3" fillId="5" borderId="10" xfId="0" applyNumberFormat="1" applyFont="1" applyFill="1" applyBorder="1" applyAlignment="1">
      <alignment horizontal="center" vertical="center" wrapText="1"/>
    </xf>
    <xf numFmtId="164" fontId="3" fillId="5" borderId="9" xfId="0" applyNumberFormat="1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wrapText="1"/>
    </xf>
  </cellXfs>
  <cellStyles count="3">
    <cellStyle name="Excel Built-in Normal" xfId="2"/>
    <cellStyle name="Monétaire" xfId="1" builtinId="4"/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D4"/>
      <rgbColor rgb="00FFFF00"/>
      <rgbColor rgb="00F20884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showRuler="0" view="pageLayout" zoomScaleNormal="33" zoomScaleSheetLayoutView="57" workbookViewId="0">
      <selection activeCell="N3" sqref="N3"/>
    </sheetView>
  </sheetViews>
  <sheetFormatPr baseColWidth="10" defaultColWidth="11.42578125" defaultRowHeight="14.25" x14ac:dyDescent="0.2"/>
  <cols>
    <col min="1" max="1" width="49.7109375" style="1" customWidth="1"/>
    <col min="2" max="2" width="20.42578125" style="1" customWidth="1"/>
    <col min="3" max="14" width="18.140625" style="1" customWidth="1"/>
    <col min="15" max="16384" width="11.42578125" style="1"/>
  </cols>
  <sheetData>
    <row r="1" spans="1:14" ht="15.75" thickBot="1" x14ac:dyDescent="0.3">
      <c r="A1" s="2"/>
      <c r="B1" s="2"/>
    </row>
    <row r="2" spans="1:14" ht="15.95" customHeight="1" thickBot="1" x14ac:dyDescent="0.25">
      <c r="A2" s="87" t="s">
        <v>121</v>
      </c>
      <c r="B2" s="85" t="s">
        <v>119</v>
      </c>
      <c r="C2" s="88" t="s">
        <v>171</v>
      </c>
      <c r="D2" s="81" t="s">
        <v>115</v>
      </c>
      <c r="E2" s="90"/>
      <c r="F2" s="90"/>
      <c r="G2" s="91"/>
      <c r="H2" s="84" t="s">
        <v>160</v>
      </c>
      <c r="I2" s="84"/>
      <c r="J2" s="84" t="s">
        <v>159</v>
      </c>
      <c r="K2" s="81" t="s">
        <v>170</v>
      </c>
      <c r="L2" s="82"/>
      <c r="M2" s="82"/>
      <c r="N2" s="83"/>
    </row>
    <row r="3" spans="1:14" s="22" customFormat="1" ht="79.5" customHeight="1" thickBot="1" x14ac:dyDescent="0.25">
      <c r="A3" s="86"/>
      <c r="B3" s="86"/>
      <c r="C3" s="89"/>
      <c r="D3" s="18" t="s">
        <v>156</v>
      </c>
      <c r="E3" s="18" t="s">
        <v>48</v>
      </c>
      <c r="F3" s="18" t="s">
        <v>157</v>
      </c>
      <c r="G3" s="18" t="s">
        <v>161</v>
      </c>
      <c r="H3" s="18" t="s">
        <v>158</v>
      </c>
      <c r="I3" s="18" t="s">
        <v>162</v>
      </c>
      <c r="J3" s="18" t="s">
        <v>49</v>
      </c>
      <c r="K3" s="33" t="s">
        <v>184</v>
      </c>
      <c r="L3" s="33" t="s">
        <v>185</v>
      </c>
      <c r="M3" s="33" t="s">
        <v>50</v>
      </c>
      <c r="N3" s="18" t="s">
        <v>40</v>
      </c>
    </row>
    <row r="4" spans="1:14" ht="15" x14ac:dyDescent="0.25">
      <c r="A4" s="8" t="s">
        <v>123</v>
      </c>
      <c r="B4" s="12"/>
      <c r="C4" s="14"/>
      <c r="D4" s="14"/>
      <c r="E4" s="20"/>
      <c r="F4" s="14"/>
      <c r="G4" s="14"/>
      <c r="H4" s="14"/>
      <c r="I4" s="14"/>
      <c r="J4" s="14"/>
      <c r="K4" s="14"/>
      <c r="L4" s="14"/>
      <c r="M4" s="43"/>
      <c r="N4" s="5"/>
    </row>
    <row r="5" spans="1:14" x14ac:dyDescent="0.2">
      <c r="A5" s="9" t="s">
        <v>117</v>
      </c>
      <c r="B5" s="13">
        <f>SUM(C5:N5)</f>
        <v>29800</v>
      </c>
      <c r="C5" s="14"/>
      <c r="D5" s="14">
        <v>1000</v>
      </c>
      <c r="E5" s="20"/>
      <c r="F5" s="14"/>
      <c r="G5" s="14"/>
      <c r="H5" s="14"/>
      <c r="I5" s="14"/>
      <c r="J5" s="14">
        <f>12*(2000+400)</f>
        <v>28800</v>
      </c>
      <c r="K5" s="14"/>
      <c r="L5" s="14"/>
      <c r="M5" s="20"/>
      <c r="N5" s="4"/>
    </row>
    <row r="6" spans="1:14" x14ac:dyDescent="0.2">
      <c r="A6" s="9" t="s">
        <v>126</v>
      </c>
      <c r="B6" s="13">
        <f t="shared" ref="B6:B33" si="0">SUM(C6:N6)</f>
        <v>50000</v>
      </c>
      <c r="C6" s="14"/>
      <c r="D6" s="14"/>
      <c r="E6" s="20"/>
      <c r="F6" s="14"/>
      <c r="G6" s="14"/>
      <c r="H6" s="14"/>
      <c r="I6" s="14">
        <v>50000</v>
      </c>
      <c r="J6" s="14"/>
      <c r="K6" s="14"/>
      <c r="L6" s="14"/>
      <c r="M6" s="20"/>
      <c r="N6" s="4"/>
    </row>
    <row r="7" spans="1:14" x14ac:dyDescent="0.2">
      <c r="A7" s="9" t="s">
        <v>128</v>
      </c>
      <c r="B7" s="13">
        <f t="shared" si="0"/>
        <v>1000</v>
      </c>
      <c r="C7" s="14"/>
      <c r="D7" s="14"/>
      <c r="E7" s="20"/>
      <c r="F7" s="14"/>
      <c r="G7" s="14"/>
      <c r="H7" s="14"/>
      <c r="I7" s="14"/>
      <c r="J7" s="14">
        <v>1000</v>
      </c>
      <c r="K7" s="14"/>
      <c r="L7" s="14"/>
      <c r="M7" s="20"/>
      <c r="N7" s="4"/>
    </row>
    <row r="8" spans="1:14" x14ac:dyDescent="0.2">
      <c r="A8" s="9" t="s">
        <v>130</v>
      </c>
      <c r="B8" s="13">
        <f t="shared" si="0"/>
        <v>0</v>
      </c>
      <c r="C8" s="14"/>
      <c r="D8" s="14"/>
      <c r="E8" s="20"/>
      <c r="F8" s="14"/>
      <c r="G8" s="14"/>
      <c r="H8" s="14"/>
      <c r="I8" s="14"/>
      <c r="J8" s="14"/>
      <c r="K8" s="14"/>
      <c r="L8" s="14"/>
      <c r="M8" s="20"/>
      <c r="N8" s="4"/>
    </row>
    <row r="9" spans="1:14" x14ac:dyDescent="0.2">
      <c r="A9" s="9" t="s">
        <v>132</v>
      </c>
      <c r="B9" s="13">
        <f t="shared" si="0"/>
        <v>0</v>
      </c>
      <c r="C9" s="14"/>
      <c r="D9" s="14"/>
      <c r="E9" s="20"/>
      <c r="F9" s="14"/>
      <c r="G9" s="14"/>
      <c r="H9" s="14"/>
      <c r="I9" s="14"/>
      <c r="J9" s="14"/>
      <c r="K9" s="14"/>
      <c r="L9" s="14"/>
      <c r="M9" s="20"/>
      <c r="N9" s="4"/>
    </row>
    <row r="10" spans="1:14" x14ac:dyDescent="0.2">
      <c r="A10" s="4"/>
      <c r="B10" s="13"/>
      <c r="C10" s="14"/>
      <c r="D10" s="14"/>
      <c r="E10" s="20"/>
      <c r="F10" s="14"/>
      <c r="G10" s="14"/>
      <c r="H10" s="14"/>
      <c r="I10" s="14"/>
      <c r="J10" s="14"/>
      <c r="K10" s="14"/>
      <c r="L10" s="14"/>
      <c r="M10" s="20"/>
      <c r="N10" s="4"/>
    </row>
    <row r="11" spans="1:14" ht="15" x14ac:dyDescent="0.25">
      <c r="A11" s="8" t="s">
        <v>134</v>
      </c>
      <c r="B11" s="13"/>
      <c r="C11" s="14"/>
      <c r="D11" s="14"/>
      <c r="E11" s="20"/>
      <c r="F11" s="14"/>
      <c r="G11" s="14"/>
      <c r="H11" s="14"/>
      <c r="I11" s="14"/>
      <c r="J11" s="14"/>
      <c r="K11" s="14"/>
      <c r="L11" s="14"/>
      <c r="M11" s="20"/>
      <c r="N11" s="4"/>
    </row>
    <row r="12" spans="1:14" x14ac:dyDescent="0.2">
      <c r="A12" s="9" t="s">
        <v>172</v>
      </c>
      <c r="B12" s="13">
        <f t="shared" si="0"/>
        <v>25000</v>
      </c>
      <c r="C12" s="14">
        <v>25000</v>
      </c>
      <c r="D12" s="14"/>
      <c r="E12" s="20"/>
      <c r="F12" s="14"/>
      <c r="G12" s="14"/>
      <c r="H12" s="14"/>
      <c r="I12" s="14"/>
      <c r="J12" s="14"/>
      <c r="K12" s="14"/>
      <c r="L12" s="14"/>
      <c r="M12" s="20"/>
      <c r="N12" s="4"/>
    </row>
    <row r="13" spans="1:14" x14ac:dyDescent="0.2">
      <c r="A13" s="9" t="s">
        <v>168</v>
      </c>
      <c r="B13" s="13">
        <f t="shared" si="0"/>
        <v>15000</v>
      </c>
      <c r="C13" s="14"/>
      <c r="D13" s="14"/>
      <c r="E13" s="20"/>
      <c r="F13" s="14"/>
      <c r="G13" s="14"/>
      <c r="H13" s="14">
        <v>15000</v>
      </c>
      <c r="I13" s="14"/>
      <c r="J13" s="14"/>
      <c r="K13" s="14"/>
      <c r="L13" s="14"/>
      <c r="M13" s="20"/>
      <c r="N13" s="4"/>
    </row>
    <row r="14" spans="1:14" x14ac:dyDescent="0.2">
      <c r="A14" s="9" t="s">
        <v>173</v>
      </c>
      <c r="B14" s="13">
        <f t="shared" si="0"/>
        <v>0</v>
      </c>
      <c r="C14" s="14"/>
      <c r="D14" s="14"/>
      <c r="E14" s="20"/>
      <c r="F14" s="14"/>
      <c r="G14" s="14"/>
      <c r="H14" s="14"/>
      <c r="I14" s="14"/>
      <c r="J14" s="14"/>
      <c r="K14" s="14"/>
      <c r="L14" s="14"/>
      <c r="M14" s="20"/>
      <c r="N14" s="4"/>
    </row>
    <row r="15" spans="1:14" x14ac:dyDescent="0.2">
      <c r="A15" s="9" t="s">
        <v>139</v>
      </c>
      <c r="B15" s="13">
        <f t="shared" si="0"/>
        <v>6000</v>
      </c>
      <c r="C15" s="14">
        <v>6000</v>
      </c>
      <c r="D15" s="14"/>
      <c r="E15" s="20"/>
      <c r="F15" s="14"/>
      <c r="G15" s="14"/>
      <c r="H15" s="14"/>
      <c r="I15" s="14"/>
      <c r="J15" s="14"/>
      <c r="K15" s="14"/>
      <c r="L15" s="14"/>
      <c r="M15" s="20"/>
      <c r="N15" s="4"/>
    </row>
    <row r="16" spans="1:14" x14ac:dyDescent="0.2">
      <c r="A16" s="10" t="s">
        <v>174</v>
      </c>
      <c r="B16" s="13">
        <f t="shared" si="0"/>
        <v>95000</v>
      </c>
      <c r="C16" s="14">
        <v>95000</v>
      </c>
      <c r="D16" s="14"/>
      <c r="E16" s="20"/>
      <c r="F16" s="14"/>
      <c r="G16" s="14"/>
      <c r="H16" s="14"/>
      <c r="I16" s="14"/>
      <c r="J16" s="14"/>
      <c r="K16" s="14"/>
      <c r="L16" s="14"/>
      <c r="M16" s="20"/>
      <c r="N16" s="4"/>
    </row>
    <row r="17" spans="1:14" x14ac:dyDescent="0.2">
      <c r="A17" s="10" t="s">
        <v>175</v>
      </c>
      <c r="B17" s="13">
        <f t="shared" si="0"/>
        <v>0</v>
      </c>
      <c r="C17" s="14"/>
      <c r="D17" s="14"/>
      <c r="E17" s="20"/>
      <c r="F17" s="14"/>
      <c r="G17" s="14"/>
      <c r="H17" s="14"/>
      <c r="I17" s="14"/>
      <c r="J17" s="14"/>
      <c r="K17" s="14"/>
      <c r="L17" s="14"/>
      <c r="M17" s="20"/>
      <c r="N17" s="4"/>
    </row>
    <row r="18" spans="1:14" x14ac:dyDescent="0.2">
      <c r="A18" s="9" t="s">
        <v>167</v>
      </c>
      <c r="B18" s="13">
        <f t="shared" si="0"/>
        <v>12000</v>
      </c>
      <c r="C18" s="14"/>
      <c r="D18" s="14"/>
      <c r="E18" s="20"/>
      <c r="F18" s="14"/>
      <c r="G18" s="14"/>
      <c r="H18" s="14"/>
      <c r="I18" s="14"/>
      <c r="J18" s="14">
        <v>12000</v>
      </c>
      <c r="K18" s="14"/>
      <c r="L18" s="14"/>
      <c r="M18" s="20"/>
      <c r="N18" s="4"/>
    </row>
    <row r="19" spans="1:14" x14ac:dyDescent="0.2">
      <c r="A19" s="9" t="s">
        <v>105</v>
      </c>
      <c r="B19" s="13">
        <f t="shared" si="0"/>
        <v>16000</v>
      </c>
      <c r="C19" s="14">
        <v>16000</v>
      </c>
      <c r="D19" s="14"/>
      <c r="E19" s="20"/>
      <c r="F19" s="14"/>
      <c r="G19" s="14"/>
      <c r="H19" s="14"/>
      <c r="I19" s="14"/>
      <c r="J19" s="14"/>
      <c r="K19" s="14"/>
      <c r="L19" s="14"/>
      <c r="M19" s="20"/>
      <c r="N19" s="4"/>
    </row>
    <row r="20" spans="1:14" x14ac:dyDescent="0.2">
      <c r="A20" s="9" t="s">
        <v>178</v>
      </c>
      <c r="B20" s="13">
        <f t="shared" si="0"/>
        <v>0</v>
      </c>
      <c r="C20" s="14"/>
      <c r="D20" s="14"/>
      <c r="E20" s="20"/>
      <c r="F20" s="14"/>
      <c r="G20" s="14"/>
      <c r="H20" s="14"/>
      <c r="I20" s="14"/>
      <c r="J20" s="14"/>
      <c r="K20" s="14"/>
      <c r="L20" s="14"/>
      <c r="M20" s="20"/>
      <c r="N20" s="4"/>
    </row>
    <row r="21" spans="1:14" x14ac:dyDescent="0.2">
      <c r="A21" s="4"/>
      <c r="B21" s="13"/>
      <c r="C21" s="14"/>
      <c r="D21" s="14"/>
      <c r="E21" s="20"/>
      <c r="F21" s="14"/>
      <c r="G21" s="14"/>
      <c r="H21" s="14"/>
      <c r="I21" s="14"/>
      <c r="J21" s="14"/>
      <c r="K21" s="14"/>
      <c r="L21" s="14"/>
      <c r="M21" s="20"/>
      <c r="N21" s="4"/>
    </row>
    <row r="22" spans="1:14" ht="15" x14ac:dyDescent="0.25">
      <c r="A22" s="8" t="s">
        <v>142</v>
      </c>
      <c r="B22" s="13"/>
      <c r="C22" s="14"/>
      <c r="D22" s="14"/>
      <c r="E22" s="20"/>
      <c r="F22" s="14"/>
      <c r="G22" s="14"/>
      <c r="H22" s="14"/>
      <c r="I22" s="14"/>
      <c r="J22" s="14"/>
      <c r="K22" s="14"/>
      <c r="L22" s="14"/>
      <c r="M22" s="20"/>
      <c r="N22" s="4"/>
    </row>
    <row r="23" spans="1:14" x14ac:dyDescent="0.2">
      <c r="A23" s="9" t="s">
        <v>143</v>
      </c>
      <c r="B23" s="13">
        <f t="shared" si="0"/>
        <v>200</v>
      </c>
      <c r="C23" s="14">
        <v>200</v>
      </c>
      <c r="D23" s="14"/>
      <c r="E23" s="20"/>
      <c r="F23" s="14"/>
      <c r="G23" s="14"/>
      <c r="H23" s="14"/>
      <c r="I23" s="14"/>
      <c r="J23" s="14"/>
      <c r="K23" s="14"/>
      <c r="L23" s="14"/>
      <c r="M23" s="20"/>
      <c r="N23" s="4"/>
    </row>
    <row r="24" spans="1:14" x14ac:dyDescent="0.2">
      <c r="A24" s="9" t="s">
        <v>38</v>
      </c>
      <c r="B24" s="13">
        <f t="shared" si="0"/>
        <v>6000</v>
      </c>
      <c r="C24" s="14"/>
      <c r="D24" s="14">
        <v>6000</v>
      </c>
      <c r="E24" s="20"/>
      <c r="F24" s="14"/>
      <c r="G24" s="14"/>
      <c r="H24" s="14"/>
      <c r="I24" s="14"/>
      <c r="J24" s="14"/>
      <c r="K24" s="14"/>
      <c r="L24" s="14"/>
      <c r="M24" s="20"/>
      <c r="N24" s="4"/>
    </row>
    <row r="25" spans="1:14" x14ac:dyDescent="0.2">
      <c r="A25" s="4"/>
      <c r="B25" s="13"/>
      <c r="C25" s="14"/>
      <c r="D25" s="14"/>
      <c r="E25" s="20"/>
      <c r="F25" s="14"/>
      <c r="G25" s="14"/>
      <c r="H25" s="14"/>
      <c r="I25" s="14"/>
      <c r="J25" s="14"/>
      <c r="K25" s="14"/>
      <c r="L25" s="14"/>
      <c r="M25" s="20"/>
      <c r="N25" s="4"/>
    </row>
    <row r="26" spans="1:14" ht="15" x14ac:dyDescent="0.25">
      <c r="A26" s="3" t="s">
        <v>176</v>
      </c>
      <c r="B26" s="13"/>
      <c r="C26" s="14"/>
      <c r="D26" s="14"/>
      <c r="E26" s="20"/>
      <c r="F26" s="14"/>
      <c r="G26" s="14"/>
      <c r="H26" s="14"/>
      <c r="I26" s="14"/>
      <c r="J26" s="14"/>
      <c r="K26" s="14"/>
      <c r="L26" s="14"/>
      <c r="M26" s="20"/>
      <c r="N26" s="4"/>
    </row>
    <row r="27" spans="1:14" x14ac:dyDescent="0.2">
      <c r="A27" s="4" t="s">
        <v>177</v>
      </c>
      <c r="B27" s="13">
        <f t="shared" si="0"/>
        <v>300</v>
      </c>
      <c r="C27" s="14">
        <v>300</v>
      </c>
      <c r="D27" s="14"/>
      <c r="E27" s="20"/>
      <c r="F27" s="14"/>
      <c r="G27" s="14"/>
      <c r="H27" s="14"/>
      <c r="I27" s="14"/>
      <c r="J27" s="14"/>
      <c r="K27" s="14"/>
      <c r="L27" s="14"/>
      <c r="M27" s="20"/>
      <c r="N27" s="4"/>
    </row>
    <row r="28" spans="1:14" x14ac:dyDescent="0.2">
      <c r="A28" s="4"/>
      <c r="B28" s="13"/>
      <c r="C28" s="14"/>
      <c r="D28" s="14"/>
      <c r="E28" s="20"/>
      <c r="F28" s="14"/>
      <c r="G28" s="14"/>
      <c r="H28" s="14"/>
      <c r="I28" s="14"/>
      <c r="J28" s="14"/>
      <c r="K28" s="14"/>
      <c r="L28" s="14"/>
      <c r="M28" s="20"/>
      <c r="N28" s="4"/>
    </row>
    <row r="29" spans="1:14" ht="15" x14ac:dyDescent="0.25">
      <c r="A29" s="3" t="s">
        <v>146</v>
      </c>
      <c r="B29" s="13"/>
      <c r="C29" s="14"/>
      <c r="D29" s="14"/>
      <c r="E29" s="20"/>
      <c r="F29" s="14"/>
      <c r="G29" s="14"/>
      <c r="H29" s="14"/>
      <c r="I29" s="14"/>
      <c r="J29" s="14"/>
      <c r="K29" s="14"/>
      <c r="L29" s="14"/>
      <c r="M29" s="20"/>
      <c r="N29" s="4"/>
    </row>
    <row r="30" spans="1:14" x14ac:dyDescent="0.2">
      <c r="A30" s="4"/>
      <c r="B30" s="13"/>
      <c r="C30" s="14"/>
      <c r="D30" s="14"/>
      <c r="E30" s="20"/>
      <c r="F30" s="14"/>
      <c r="G30" s="14"/>
      <c r="H30" s="14"/>
      <c r="I30" s="14"/>
      <c r="J30" s="14"/>
      <c r="K30" s="14"/>
      <c r="L30" s="14"/>
      <c r="M30" s="20"/>
      <c r="N30" s="4"/>
    </row>
    <row r="31" spans="1:14" ht="30" x14ac:dyDescent="0.25">
      <c r="A31" s="6" t="s">
        <v>112</v>
      </c>
      <c r="B31" s="13">
        <f t="shared" si="0"/>
        <v>58700</v>
      </c>
      <c r="C31" s="14">
        <v>58700</v>
      </c>
      <c r="D31" s="14"/>
      <c r="E31" s="20"/>
      <c r="F31" s="14"/>
      <c r="G31" s="14"/>
      <c r="H31" s="14"/>
      <c r="I31" s="14"/>
      <c r="J31" s="14"/>
      <c r="K31" s="14"/>
      <c r="L31" s="14"/>
      <c r="M31" s="20"/>
      <c r="N31" s="4"/>
    </row>
    <row r="32" spans="1:14" x14ac:dyDescent="0.2">
      <c r="A32" s="4"/>
      <c r="B32" s="13"/>
      <c r="C32" s="14"/>
      <c r="D32" s="14"/>
      <c r="E32" s="20"/>
      <c r="F32" s="14"/>
      <c r="G32" s="14"/>
      <c r="H32" s="14"/>
      <c r="I32" s="14"/>
      <c r="J32" s="14"/>
      <c r="K32" s="14"/>
      <c r="L32" s="14"/>
      <c r="M32" s="20"/>
      <c r="N32" s="4"/>
    </row>
    <row r="33" spans="1:14" ht="15" x14ac:dyDescent="0.25">
      <c r="A33" s="3" t="s">
        <v>114</v>
      </c>
      <c r="B33" s="13">
        <f t="shared" si="0"/>
        <v>0</v>
      </c>
      <c r="C33" s="14"/>
      <c r="D33" s="14"/>
      <c r="E33" s="20"/>
      <c r="F33" s="14"/>
      <c r="G33" s="14"/>
      <c r="H33" s="14"/>
      <c r="I33" s="14"/>
      <c r="J33" s="14"/>
      <c r="K33" s="14"/>
      <c r="L33" s="14"/>
      <c r="M33" s="20"/>
      <c r="N33" s="4"/>
    </row>
    <row r="34" spans="1:14" ht="15" thickBot="1" x14ac:dyDescent="0.25">
      <c r="A34" s="41"/>
      <c r="B34" s="16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4"/>
    </row>
    <row r="35" spans="1:14" s="2" customFormat="1" ht="15.75" thickBot="1" x14ac:dyDescent="0.3">
      <c r="A35" s="11" t="s">
        <v>149</v>
      </c>
      <c r="B35" s="17">
        <f>SUM(B4:B34)</f>
        <v>315000</v>
      </c>
      <c r="C35" s="24">
        <f>SUM(C5:C34)</f>
        <v>201200</v>
      </c>
      <c r="D35" s="24">
        <f t="shared" ref="D35:N35" si="1">SUM(D5:D34)</f>
        <v>7000</v>
      </c>
      <c r="E35" s="24">
        <f t="shared" si="1"/>
        <v>0</v>
      </c>
      <c r="F35" s="24">
        <f t="shared" si="1"/>
        <v>0</v>
      </c>
      <c r="G35" s="24">
        <f t="shared" si="1"/>
        <v>0</v>
      </c>
      <c r="H35" s="24">
        <f t="shared" si="1"/>
        <v>15000</v>
      </c>
      <c r="I35" s="24">
        <f t="shared" si="1"/>
        <v>50000</v>
      </c>
      <c r="J35" s="24">
        <f t="shared" si="1"/>
        <v>41800</v>
      </c>
      <c r="K35" s="24">
        <f t="shared" si="1"/>
        <v>0</v>
      </c>
      <c r="L35" s="24">
        <f t="shared" si="1"/>
        <v>0</v>
      </c>
      <c r="M35" s="24">
        <f t="shared" si="1"/>
        <v>0</v>
      </c>
      <c r="N35" s="24">
        <f t="shared" si="1"/>
        <v>0</v>
      </c>
    </row>
    <row r="36" spans="1:14" ht="15" thickBot="1" x14ac:dyDescent="0.25"/>
    <row r="37" spans="1:14" s="36" customFormat="1" ht="15" thickBot="1" x14ac:dyDescent="0.25">
      <c r="A37" s="35" t="s">
        <v>182</v>
      </c>
      <c r="B37" s="35">
        <f>B35-'Analytique charges 2015'!B63</f>
        <v>-101335</v>
      </c>
      <c r="C37" s="35">
        <f>C35-'Analytique charges 2015'!D63</f>
        <v>101355.35363606979</v>
      </c>
      <c r="D37" s="35">
        <f>D35-'Analytique charges 2015'!E63</f>
        <v>-35950.549709114413</v>
      </c>
      <c r="E37" s="35">
        <f>E35-'Analytique charges 2015'!F63</f>
        <v>-11299.591144149968</v>
      </c>
      <c r="F37" s="35">
        <f>F35-'Analytique charges 2015'!G63</f>
        <v>-22922.728789592755</v>
      </c>
      <c r="G37" s="35">
        <f>G35-'Analytique charges 2015'!H63</f>
        <v>-22363.982304460242</v>
      </c>
      <c r="H37" s="35">
        <f>H35-'Analytique charges 2015'!I63</f>
        <v>-5979.044238849383</v>
      </c>
      <c r="I37" s="35">
        <f>I35-'Analytique charges 2015'!J63</f>
        <v>-5274.5017372333532</v>
      </c>
      <c r="J37" s="35">
        <f>J35-'Analytique charges 2015'!K63</f>
        <v>-35305.769432773101</v>
      </c>
      <c r="K37" s="35">
        <f>K35-'Analytique charges 2015'!L63</f>
        <v>-14340.148270846801</v>
      </c>
      <c r="L37" s="35">
        <f>L35-'Analytique charges 2015'!M63</f>
        <v>-19758.94461053652</v>
      </c>
      <c r="M37" s="35">
        <f>M35-'Analytique charges 2015'!N63</f>
        <v>-15231.484841628957</v>
      </c>
      <c r="N37" s="35">
        <f>N35-'Analytique charges 2015'!O63</f>
        <v>-14263.60855688429</v>
      </c>
    </row>
    <row r="50" spans="1:2" x14ac:dyDescent="0.2">
      <c r="A50" s="7"/>
      <c r="B50" s="7"/>
    </row>
  </sheetData>
  <mergeCells count="7">
    <mergeCell ref="K2:N2"/>
    <mergeCell ref="J2"/>
    <mergeCell ref="B2:B3"/>
    <mergeCell ref="A2:A3"/>
    <mergeCell ref="C2:C3"/>
    <mergeCell ref="D2:G2"/>
    <mergeCell ref="H2:I2"/>
  </mergeCells>
  <phoneticPr fontId="2" type="noConversion"/>
  <printOptions horizontalCentered="1"/>
  <pageMargins left="0.59055118110236227" right="0.59055118110236227" top="0.78740157480314965" bottom="0.78740157480314965" header="0.39370078740157483" footer="0.19685039370078741"/>
  <pageSetup paperSize="9" scale="47" firstPageNumber="0" orientation="landscape" horizontalDpi="300" verticalDpi="300" r:id="rId1"/>
  <headerFooter>
    <oddHeader>&amp;C&amp;"Trebuchet MS,Gras"&amp;12FRUCTÔSE - Budget prévisionnel 2015</oddHeader>
    <oddFooter xml:space="preserve">&amp;L&amp;"Trebuchet MS,Normal"© Culture d'Entreprise | ExtraCité | 26.05.2014&amp;R&amp;"Trebuchet MS,Gras"&amp;F | &amp;A
</oddFooter>
  </headerFooter>
  <rowBreaks count="1" manualBreakCount="1">
    <brk id="39" max="16383" man="1"/>
  </rowBreaks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Ruler="0" view="pageLayout" workbookViewId="0">
      <selection activeCell="E21" sqref="E20:E21"/>
    </sheetView>
  </sheetViews>
  <sheetFormatPr baseColWidth="10" defaultColWidth="10.85546875" defaultRowHeight="14.25" x14ac:dyDescent="0.2"/>
  <cols>
    <col min="1" max="1" width="41.85546875" style="19" customWidth="1"/>
    <col min="2" max="2" width="17.7109375" style="19" customWidth="1"/>
    <col min="3" max="15" width="14.28515625" style="19" customWidth="1"/>
    <col min="16" max="16384" width="10.85546875" style="19"/>
  </cols>
  <sheetData>
    <row r="1" spans="1:15" s="77" customFormat="1" ht="14.1" customHeight="1" thickBot="1" x14ac:dyDescent="0.25">
      <c r="A1" s="97" t="s">
        <v>120</v>
      </c>
      <c r="B1" s="104" t="s">
        <v>46</v>
      </c>
      <c r="C1" s="95" t="s">
        <v>37</v>
      </c>
      <c r="D1" s="102" t="s">
        <v>169</v>
      </c>
      <c r="E1" s="92" t="s">
        <v>115</v>
      </c>
      <c r="F1" s="99"/>
      <c r="G1" s="99"/>
      <c r="H1" s="100"/>
      <c r="I1" s="101" t="s">
        <v>160</v>
      </c>
      <c r="J1" s="101"/>
      <c r="K1" s="101" t="s">
        <v>159</v>
      </c>
      <c r="L1" s="92" t="s">
        <v>170</v>
      </c>
      <c r="M1" s="93"/>
      <c r="N1" s="93"/>
      <c r="O1" s="94"/>
    </row>
    <row r="2" spans="1:15" ht="105.75" thickBot="1" x14ac:dyDescent="0.25">
      <c r="A2" s="98"/>
      <c r="B2" s="105"/>
      <c r="C2" s="96"/>
      <c r="D2" s="103"/>
      <c r="E2" s="25" t="s">
        <v>156</v>
      </c>
      <c r="F2" s="25" t="s">
        <v>44</v>
      </c>
      <c r="G2" s="25" t="s">
        <v>43</v>
      </c>
      <c r="H2" s="25" t="s">
        <v>161</v>
      </c>
      <c r="I2" s="25" t="s">
        <v>158</v>
      </c>
      <c r="J2" s="25" t="s">
        <v>162</v>
      </c>
      <c r="K2" s="25" t="s">
        <v>47</v>
      </c>
      <c r="L2" s="34" t="s">
        <v>184</v>
      </c>
      <c r="M2" s="34" t="s">
        <v>185</v>
      </c>
      <c r="N2" s="34" t="s">
        <v>45</v>
      </c>
      <c r="O2" s="34" t="s">
        <v>39</v>
      </c>
    </row>
    <row r="3" spans="1:15" x14ac:dyDescent="0.2">
      <c r="A3" s="26"/>
      <c r="B3" s="26"/>
      <c r="C3" s="26"/>
    </row>
    <row r="4" spans="1:15" ht="15" x14ac:dyDescent="0.25">
      <c r="A4" s="27" t="s">
        <v>122</v>
      </c>
      <c r="B4" s="15"/>
      <c r="C4" s="15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x14ac:dyDescent="0.2">
      <c r="A5" s="28" t="s">
        <v>124</v>
      </c>
      <c r="B5" s="20">
        <f>SUM(D5:O5)</f>
        <v>2500.0000000000005</v>
      </c>
      <c r="C5" s="20">
        <v>2500</v>
      </c>
      <c r="D5" s="20">
        <f>C5*'Temps travail et prorata 2015'!$L$6</f>
        <v>611.02941176470586</v>
      </c>
      <c r="E5" s="20">
        <f>C5*'Temps travail et prorata 2015'!$L$18</f>
        <v>505.88235294117646</v>
      </c>
      <c r="F5" s="20">
        <f>C5*'Temps travail et prorata 2015'!$L$26</f>
        <v>73.529411764705884</v>
      </c>
      <c r="G5" s="20">
        <f>C5*'Temps travail et prorata 2015'!$L$46</f>
        <v>126.83823529411765</v>
      </c>
      <c r="H5" s="20">
        <f>C5*'Temps travail et prorata 2015'!$L$35</f>
        <v>128.67647058823528</v>
      </c>
      <c r="I5" s="20">
        <f>C5*'Temps travail et prorata 2015'!$L$56</f>
        <v>53.308823529411768</v>
      </c>
      <c r="J5" s="20">
        <f>C5*'Temps travail et prorata 2015'!$L$64</f>
        <v>148.89705882352939</v>
      </c>
      <c r="K5" s="20">
        <f>C5*'Temps travail et prorata 2015'!$L$71</f>
        <v>395.22058823529409</v>
      </c>
      <c r="L5" s="20">
        <f>C5*'Temps travail et prorata 2015'!$L$81</f>
        <v>91.911764705882362</v>
      </c>
      <c r="M5" s="20">
        <f>C5*'Temps travail et prorata 2015'!$L$88</f>
        <v>130.51470588235296</v>
      </c>
      <c r="N5" s="20">
        <f>C5*'Temps travail et prorata 2015'!$L$95</f>
        <v>92.647058823529406</v>
      </c>
      <c r="O5" s="20">
        <f>C5*'Temps travail et prorata 2015'!$L$103</f>
        <v>141.54411764705881</v>
      </c>
    </row>
    <row r="6" spans="1:15" x14ac:dyDescent="0.2">
      <c r="A6" s="28" t="s">
        <v>125</v>
      </c>
      <c r="B6" s="20">
        <f t="shared" ref="B6:B62" si="0">SUM(D6:O6)</f>
        <v>10000.000000000002</v>
      </c>
      <c r="C6" s="20">
        <v>10000</v>
      </c>
      <c r="D6" s="20">
        <f>C6*'Temps travail et prorata 2015'!$L$6</f>
        <v>2444.1176470588234</v>
      </c>
      <c r="E6" s="20">
        <f>C6*'Temps travail et prorata 2015'!$L$18</f>
        <v>2023.5294117647059</v>
      </c>
      <c r="F6" s="20">
        <f>C6*'Temps travail et prorata 2015'!$L$26</f>
        <v>294.11764705882354</v>
      </c>
      <c r="G6" s="20">
        <f>C6*'Temps travail et prorata 2015'!$L$46</f>
        <v>507.35294117647061</v>
      </c>
      <c r="H6" s="20">
        <f>C6*'Temps travail et prorata 2015'!$L$35</f>
        <v>514.7058823529411</v>
      </c>
      <c r="I6" s="20">
        <f>C6*'Temps travail et prorata 2015'!$L$56</f>
        <v>213.23529411764707</v>
      </c>
      <c r="J6" s="20">
        <f>C6*'Temps travail et prorata 2015'!$L$64</f>
        <v>595.58823529411757</v>
      </c>
      <c r="K6" s="20">
        <f>C6*'Temps travail et prorata 2015'!$L$71</f>
        <v>1580.8823529411764</v>
      </c>
      <c r="L6" s="20">
        <f>C6*'Temps travail et prorata 2015'!$L$81</f>
        <v>367.64705882352945</v>
      </c>
      <c r="M6" s="20">
        <f>C6*'Temps travail et prorata 2015'!$L$88</f>
        <v>522.05882352941182</v>
      </c>
      <c r="N6" s="20">
        <f>C6*'Temps travail et prorata 2015'!$L$95</f>
        <v>370.58823529411762</v>
      </c>
      <c r="O6" s="20">
        <f>C6*'Temps travail et prorata 2015'!$L$103</f>
        <v>566.17647058823525</v>
      </c>
    </row>
    <row r="7" spans="1:15" x14ac:dyDescent="0.2">
      <c r="A7" s="28" t="s">
        <v>127</v>
      </c>
      <c r="B7" s="20">
        <f t="shared" si="0"/>
        <v>14050.000000000002</v>
      </c>
      <c r="C7" s="20">
        <v>14050</v>
      </c>
      <c r="D7" s="20">
        <f>C7*'Temps travail et prorata 2015'!$L$6</f>
        <v>3433.9852941176473</v>
      </c>
      <c r="E7" s="20">
        <f>C7*'Temps travail et prorata 2015'!$L$18</f>
        <v>2843.0588235294117</v>
      </c>
      <c r="F7" s="20">
        <f>C7*'Temps travail et prorata 2015'!$L$26</f>
        <v>413.23529411764707</v>
      </c>
      <c r="G7" s="20">
        <f>C7*'Temps travail et prorata 2015'!$L$46</f>
        <v>712.83088235294122</v>
      </c>
      <c r="H7" s="20">
        <f>C7*'Temps travail et prorata 2015'!$L$35</f>
        <v>723.16176470588232</v>
      </c>
      <c r="I7" s="20">
        <f>C7*'Temps travail et prorata 2015'!$L$56</f>
        <v>299.59558823529414</v>
      </c>
      <c r="J7" s="20">
        <f>C7*'Temps travail et prorata 2015'!$L$64</f>
        <v>836.80147058823525</v>
      </c>
      <c r="K7" s="20">
        <f>C7*'Temps travail et prorata 2015'!$L$71</f>
        <v>2221.1397058823527</v>
      </c>
      <c r="L7" s="20">
        <f>C7*'Temps travail et prorata 2015'!$L$81</f>
        <v>516.5441176470589</v>
      </c>
      <c r="M7" s="20">
        <f>C7*'Temps travail et prorata 2015'!$L$88</f>
        <v>733.49264705882354</v>
      </c>
      <c r="N7" s="20">
        <f>C7*'Temps travail et prorata 2015'!$L$95</f>
        <v>520.67647058823525</v>
      </c>
      <c r="O7" s="20">
        <f>C7*'Temps travail et prorata 2015'!$L$103</f>
        <v>795.47794117647061</v>
      </c>
    </row>
    <row r="8" spans="1:15" x14ac:dyDescent="0.2">
      <c r="A8" s="28" t="s">
        <v>129</v>
      </c>
      <c r="B8" s="20">
        <f t="shared" si="0"/>
        <v>1500.0000000000002</v>
      </c>
      <c r="C8" s="20">
        <v>1500</v>
      </c>
      <c r="D8" s="20">
        <f>C8*'Temps travail et prorata 2015'!$L$6</f>
        <v>366.61764705882354</v>
      </c>
      <c r="E8" s="20">
        <f>C8*'Temps travail et prorata 2015'!$L$18</f>
        <v>303.52941176470591</v>
      </c>
      <c r="F8" s="20">
        <f>C8*'Temps travail et prorata 2015'!$L$26</f>
        <v>44.117647058823529</v>
      </c>
      <c r="G8" s="20">
        <f>C8*'Temps travail et prorata 2015'!$L$46</f>
        <v>76.102941176470594</v>
      </c>
      <c r="H8" s="20">
        <f>C8*'Temps travail et prorata 2015'!$L$35</f>
        <v>77.205882352941174</v>
      </c>
      <c r="I8" s="20">
        <f>C8*'Temps travail et prorata 2015'!$L$56</f>
        <v>31.985294117647058</v>
      </c>
      <c r="J8" s="20">
        <f>C8*'Temps travail et prorata 2015'!$L$64</f>
        <v>89.338235294117638</v>
      </c>
      <c r="K8" s="20">
        <f>C8*'Temps travail et prorata 2015'!$L$71</f>
        <v>237.13235294117646</v>
      </c>
      <c r="L8" s="20">
        <f>C8*'Temps travail et prorata 2015'!$L$81</f>
        <v>55.147058823529413</v>
      </c>
      <c r="M8" s="20">
        <f>C8*'Temps travail et prorata 2015'!$L$88</f>
        <v>78.308823529411768</v>
      </c>
      <c r="N8" s="20">
        <f>C8*'Temps travail et prorata 2015'!$L$95</f>
        <v>55.588235294117645</v>
      </c>
      <c r="O8" s="20">
        <f>C8*'Temps travail et prorata 2015'!$L$103</f>
        <v>84.92647058823529</v>
      </c>
    </row>
    <row r="9" spans="1:15" x14ac:dyDescent="0.2">
      <c r="A9" s="28" t="s">
        <v>131</v>
      </c>
      <c r="B9" s="20">
        <f t="shared" si="0"/>
        <v>12000</v>
      </c>
      <c r="C9" s="20"/>
      <c r="D9" s="20">
        <f>C9*'Temps travail et prorata 2015'!$L$6</f>
        <v>0</v>
      </c>
      <c r="E9" s="20">
        <f>C9*'Temps travail et prorata 2015'!$L$18</f>
        <v>0</v>
      </c>
      <c r="F9" s="20">
        <f>C9*'Temps travail et prorata 2015'!$L$26</f>
        <v>0</v>
      </c>
      <c r="G9" s="20">
        <f>C9*'Temps travail et prorata 2015'!$L$46</f>
        <v>0</v>
      </c>
      <c r="H9" s="20">
        <f>C9*'Temps travail et prorata 2015'!$L$35</f>
        <v>0</v>
      </c>
      <c r="I9" s="20">
        <f>C9*'Temps travail et prorata 2015'!$L$56</f>
        <v>0</v>
      </c>
      <c r="J9" s="20">
        <f>C9*'Temps travail et prorata 2015'!$L$64</f>
        <v>0</v>
      </c>
      <c r="K9" s="20">
        <f>12*1000</f>
        <v>12000</v>
      </c>
      <c r="L9" s="20">
        <f>C9*'Temps travail et prorata 2015'!$L$81</f>
        <v>0</v>
      </c>
      <c r="M9" s="20">
        <f>C9*'Temps travail et prorata 2015'!$L$88</f>
        <v>0</v>
      </c>
      <c r="N9" s="20">
        <f>C9*'Temps travail et prorata 2015'!$L$95</f>
        <v>0</v>
      </c>
      <c r="O9" s="20">
        <f>C9*'Temps travail et prorata 2015'!$L$103</f>
        <v>0</v>
      </c>
    </row>
    <row r="10" spans="1:15" x14ac:dyDescent="0.2">
      <c r="A10" s="28" t="s">
        <v>133</v>
      </c>
      <c r="B10" s="20">
        <f t="shared" si="0"/>
        <v>2400</v>
      </c>
      <c r="C10" s="20"/>
      <c r="D10" s="20">
        <f>C10*'Temps travail et prorata 2015'!$L$6</f>
        <v>0</v>
      </c>
      <c r="E10" s="20">
        <f>C10*'Temps travail et prorata 2015'!$L$18</f>
        <v>0</v>
      </c>
      <c r="F10" s="20">
        <f>C10*'Temps travail et prorata 2015'!$L$26</f>
        <v>0</v>
      </c>
      <c r="G10" s="20">
        <f>C10*'Temps travail et prorata 2015'!$L$46</f>
        <v>0</v>
      </c>
      <c r="H10" s="20">
        <f>C10*'Temps travail et prorata 2015'!$L$35</f>
        <v>0</v>
      </c>
      <c r="I10" s="20">
        <f>C10*'Temps travail et prorata 2015'!$L$56</f>
        <v>0</v>
      </c>
      <c r="J10" s="20">
        <f>C10*'Temps travail et prorata 2015'!$L$64</f>
        <v>0</v>
      </c>
      <c r="K10" s="20">
        <f>12*200</f>
        <v>2400</v>
      </c>
      <c r="L10" s="20">
        <f>C10*'Temps travail et prorata 2015'!$L$81</f>
        <v>0</v>
      </c>
      <c r="M10" s="20">
        <f>C10*'Temps travail et prorata 2015'!$L$88</f>
        <v>0</v>
      </c>
      <c r="N10" s="20">
        <f>C10*'Temps travail et prorata 2015'!$L$95</f>
        <v>0</v>
      </c>
      <c r="O10" s="20">
        <f>C10*'Temps travail et prorata 2015'!$L$103</f>
        <v>0</v>
      </c>
    </row>
    <row r="11" spans="1:15" x14ac:dyDescent="0.2">
      <c r="A11" s="28" t="s">
        <v>118</v>
      </c>
      <c r="B11" s="20">
        <f t="shared" si="0"/>
        <v>4000</v>
      </c>
      <c r="C11" s="20"/>
      <c r="D11" s="20">
        <f>C11*'Temps travail et prorata 2015'!$L$6</f>
        <v>0</v>
      </c>
      <c r="E11" s="20">
        <f>C11*'Temps travail et prorata 2015'!$L$18</f>
        <v>0</v>
      </c>
      <c r="F11" s="20">
        <f>C11*'Temps travail et prorata 2015'!$L$26</f>
        <v>0</v>
      </c>
      <c r="G11" s="20">
        <f>C11*'Temps travail et prorata 2015'!$L$46</f>
        <v>0</v>
      </c>
      <c r="H11" s="20">
        <f>C11*'Temps travail et prorata 2015'!$L$35</f>
        <v>0</v>
      </c>
      <c r="I11" s="20">
        <v>2000</v>
      </c>
      <c r="J11" s="20">
        <f>C11*'Temps travail et prorata 2015'!$L$64</f>
        <v>0</v>
      </c>
      <c r="K11" s="20">
        <f>10*200</f>
        <v>2000</v>
      </c>
      <c r="L11" s="20">
        <f>C11*'Temps travail et prorata 2015'!$L$81</f>
        <v>0</v>
      </c>
      <c r="M11" s="20">
        <f>C11*'Temps travail et prorata 2015'!$L$88</f>
        <v>0</v>
      </c>
      <c r="N11" s="20">
        <f>C11*'Temps travail et prorata 2015'!$L$95</f>
        <v>0</v>
      </c>
      <c r="O11" s="20">
        <f>C11*'Temps travail et prorata 2015'!$L$103</f>
        <v>0</v>
      </c>
    </row>
    <row r="12" spans="1:15" x14ac:dyDescent="0.2">
      <c r="A12" s="28" t="s">
        <v>135</v>
      </c>
      <c r="B12" s="20">
        <f t="shared" si="0"/>
        <v>4000</v>
      </c>
      <c r="C12" s="20"/>
      <c r="D12" s="20">
        <f>C12*'Temps travail et prorata 2015'!$L$6</f>
        <v>0</v>
      </c>
      <c r="E12" s="20">
        <f>C12*'Temps travail et prorata 2015'!$L$18</f>
        <v>0</v>
      </c>
      <c r="F12" s="20">
        <f>C12*'Temps travail et prorata 2015'!$L$26</f>
        <v>0</v>
      </c>
      <c r="G12" s="20">
        <f>C12*'Temps travail et prorata 2015'!$L$46</f>
        <v>0</v>
      </c>
      <c r="H12" s="20">
        <f>C12*'Temps travail et prorata 2015'!$L$35</f>
        <v>0</v>
      </c>
      <c r="I12" s="20">
        <v>2000</v>
      </c>
      <c r="J12" s="20">
        <f>C12*'Temps travail et prorata 2015'!$L$64</f>
        <v>0</v>
      </c>
      <c r="K12" s="20">
        <v>2000</v>
      </c>
      <c r="L12" s="20">
        <f>C12*'Temps travail et prorata 2015'!$L$81</f>
        <v>0</v>
      </c>
      <c r="M12" s="20">
        <f>C12*'Temps travail et prorata 2015'!$L$88</f>
        <v>0</v>
      </c>
      <c r="N12" s="20">
        <f>C12*'Temps travail et prorata 2015'!$L$95</f>
        <v>0</v>
      </c>
      <c r="O12" s="20">
        <f>C12*'Temps travail et prorata 2015'!$L$103</f>
        <v>0</v>
      </c>
    </row>
    <row r="13" spans="1:15" x14ac:dyDescent="0.2">
      <c r="A13" s="28" t="s">
        <v>136</v>
      </c>
      <c r="B13" s="20">
        <f t="shared" si="0"/>
        <v>500</v>
      </c>
      <c r="C13" s="20">
        <v>500</v>
      </c>
      <c r="D13" s="20">
        <f>C13*'Temps travail et prorata 2015'!$L$6</f>
        <v>122.20588235294117</v>
      </c>
      <c r="E13" s="20">
        <f>C13*'Temps travail et prorata 2015'!$L$18</f>
        <v>101.1764705882353</v>
      </c>
      <c r="F13" s="20">
        <f>C13*'Temps travail et prorata 2015'!$L$26</f>
        <v>14.705882352941176</v>
      </c>
      <c r="G13" s="20">
        <f>C13*'Temps travail et prorata 2015'!$L$46</f>
        <v>25.367647058823529</v>
      </c>
      <c r="H13" s="20">
        <f>C13*'Temps travail et prorata 2015'!$L$35</f>
        <v>25.735294117647058</v>
      </c>
      <c r="I13" s="20">
        <f>C13*'Temps travail et prorata 2015'!$L$56</f>
        <v>10.661764705882353</v>
      </c>
      <c r="J13" s="20">
        <f>C13*'Temps travail et prorata 2015'!$L$64</f>
        <v>29.77941176470588</v>
      </c>
      <c r="K13" s="20">
        <f>C13*'Temps travail et prorata 2015'!$L$71</f>
        <v>79.044117647058826</v>
      </c>
      <c r="L13" s="20">
        <f>C13*'Temps travail et prorata 2015'!$L$81</f>
        <v>18.382352941176471</v>
      </c>
      <c r="M13" s="20">
        <f>C13*'Temps travail et prorata 2015'!$L$88</f>
        <v>26.102941176470591</v>
      </c>
      <c r="N13" s="20">
        <f>C13*'Temps travail et prorata 2015'!$L$95</f>
        <v>18.52941176470588</v>
      </c>
      <c r="O13" s="20">
        <f>C13*'Temps travail et prorata 2015'!$L$103</f>
        <v>28.308823529411764</v>
      </c>
    </row>
    <row r="14" spans="1:15" x14ac:dyDescent="0.2">
      <c r="A14" s="28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5" ht="15" x14ac:dyDescent="0.25">
      <c r="A15" s="27" t="s">
        <v>137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5" x14ac:dyDescent="0.2">
      <c r="A16" s="28" t="s">
        <v>138</v>
      </c>
      <c r="B16" s="20">
        <f t="shared" si="0"/>
        <v>0</v>
      </c>
      <c r="C16" s="20"/>
      <c r="D16" s="20">
        <f>C16*'Temps travail et prorata 2015'!$L$6</f>
        <v>0</v>
      </c>
      <c r="E16" s="20">
        <f>C16*'Temps travail et prorata 2015'!$L$18</f>
        <v>0</v>
      </c>
      <c r="F16" s="20">
        <f>C16*'Temps travail et prorata 2015'!$L$26</f>
        <v>0</v>
      </c>
      <c r="G16" s="20">
        <f>C16*'Temps travail et prorata 2015'!$L$46</f>
        <v>0</v>
      </c>
      <c r="H16" s="20">
        <f>C16*'Temps travail et prorata 2015'!$L$35</f>
        <v>0</v>
      </c>
      <c r="I16" s="20">
        <f>C16*'Temps travail et prorata 2015'!$L$56</f>
        <v>0</v>
      </c>
      <c r="J16" s="20">
        <f>C16*'Temps travail et prorata 2015'!$L$64</f>
        <v>0</v>
      </c>
      <c r="K16" s="20">
        <f>C16*'Temps travail et prorata 2015'!$L$71</f>
        <v>0</v>
      </c>
      <c r="L16" s="20">
        <f>C16*'Temps travail et prorata 2015'!$L$81</f>
        <v>0</v>
      </c>
      <c r="M16" s="20">
        <f>C16*'Temps travail et prorata 2015'!$L$88</f>
        <v>0</v>
      </c>
      <c r="N16" s="20">
        <f>C16*'Temps travail et prorata 2015'!$L$95</f>
        <v>0</v>
      </c>
      <c r="O16" s="20">
        <f>C16*'Temps travail et prorata 2015'!$L$103</f>
        <v>0</v>
      </c>
    </row>
    <row r="17" spans="1:15" x14ac:dyDescent="0.2">
      <c r="A17" s="28" t="s">
        <v>140</v>
      </c>
      <c r="B17" s="20">
        <f t="shared" si="0"/>
        <v>0</v>
      </c>
      <c r="C17" s="20"/>
      <c r="D17" s="20">
        <f>C17*'Temps travail et prorata 2015'!$L$6</f>
        <v>0</v>
      </c>
      <c r="E17" s="20">
        <f>C17*'Temps travail et prorata 2015'!$L$18</f>
        <v>0</v>
      </c>
      <c r="F17" s="20">
        <f>C17*'Temps travail et prorata 2015'!$L$26</f>
        <v>0</v>
      </c>
      <c r="G17" s="20">
        <f>C17*'Temps travail et prorata 2015'!$L$46</f>
        <v>0</v>
      </c>
      <c r="H17" s="20">
        <f>C17*'Temps travail et prorata 2015'!$L$35</f>
        <v>0</v>
      </c>
      <c r="I17" s="20">
        <f>C17*'Temps travail et prorata 2015'!$L$56</f>
        <v>0</v>
      </c>
      <c r="J17" s="20">
        <f>C17*'Temps travail et prorata 2015'!$L$64</f>
        <v>0</v>
      </c>
      <c r="K17" s="20">
        <f>C17*'Temps travail et prorata 2015'!$L$71</f>
        <v>0</v>
      </c>
      <c r="L17" s="20">
        <f>C17*'Temps travail et prorata 2015'!$L$81</f>
        <v>0</v>
      </c>
      <c r="M17" s="20">
        <f>C17*'Temps travail et prorata 2015'!$L$88</f>
        <v>0</v>
      </c>
      <c r="N17" s="20">
        <f>C17*'Temps travail et prorata 2015'!$L$95</f>
        <v>0</v>
      </c>
      <c r="O17" s="20">
        <f>C17*'Temps travail et prorata 2015'!$L$103</f>
        <v>0</v>
      </c>
    </row>
    <row r="18" spans="1:15" x14ac:dyDescent="0.2">
      <c r="A18" s="28" t="s">
        <v>111</v>
      </c>
      <c r="B18" s="20">
        <f t="shared" si="0"/>
        <v>29999.999999999996</v>
      </c>
      <c r="C18" s="20">
        <v>30000</v>
      </c>
      <c r="D18" s="20">
        <f>C18*'Temps travail et prorata 2015'!$L$6</f>
        <v>7332.3529411764703</v>
      </c>
      <c r="E18" s="20">
        <f>C18*'Temps travail et prorata 2015'!$L$18</f>
        <v>6070.588235294118</v>
      </c>
      <c r="F18" s="20">
        <f>C18*'Temps travail et prorata 2015'!$L$26</f>
        <v>882.35294117647061</v>
      </c>
      <c r="G18" s="20">
        <f>C18*'Temps travail et prorata 2015'!$L$46</f>
        <v>1522.0588235294117</v>
      </c>
      <c r="H18" s="20">
        <f>C18*'Temps travail et prorata 2015'!$L$35</f>
        <v>1544.1176470588234</v>
      </c>
      <c r="I18" s="20">
        <f>C18*'Temps travail et prorata 2015'!$L$56</f>
        <v>639.70588235294122</v>
      </c>
      <c r="J18" s="20">
        <f>C18*'Temps travail et prorata 2015'!$L$64</f>
        <v>1786.7647058823529</v>
      </c>
      <c r="K18" s="20">
        <f>C18*'Temps travail et prorata 2015'!$L$71</f>
        <v>4742.6470588235288</v>
      </c>
      <c r="L18" s="20">
        <f>C18*'Temps travail et prorata 2015'!$L$81</f>
        <v>1102.9411764705883</v>
      </c>
      <c r="M18" s="20">
        <f>C18*'Temps travail et prorata 2015'!$L$88</f>
        <v>1566.1764705882354</v>
      </c>
      <c r="N18" s="20">
        <f>C18*'Temps travail et prorata 2015'!$L$95</f>
        <v>1111.7647058823529</v>
      </c>
      <c r="O18" s="20">
        <f>C18*'Temps travail et prorata 2015'!$L$103</f>
        <v>1698.5294117647059</v>
      </c>
    </row>
    <row r="19" spans="1:15" x14ac:dyDescent="0.2">
      <c r="A19" s="29" t="s">
        <v>141</v>
      </c>
      <c r="B19" s="20">
        <f t="shared" si="0"/>
        <v>3000.0000000000005</v>
      </c>
      <c r="C19" s="20">
        <v>3000</v>
      </c>
      <c r="D19" s="20">
        <f>C19*'Temps travail et prorata 2015'!$L$6</f>
        <v>733.23529411764707</v>
      </c>
      <c r="E19" s="20">
        <f>C19*'Temps travail et prorata 2015'!$L$18</f>
        <v>607.05882352941182</v>
      </c>
      <c r="F19" s="20">
        <f>C19*'Temps travail et prorata 2015'!$L$26</f>
        <v>88.235294117647058</v>
      </c>
      <c r="G19" s="20">
        <f>C19*'Temps travail et prorata 2015'!$L$46</f>
        <v>152.20588235294119</v>
      </c>
      <c r="H19" s="20">
        <f>C19*'Temps travail et prorata 2015'!$L$35</f>
        <v>154.41176470588235</v>
      </c>
      <c r="I19" s="20">
        <f>C19*'Temps travail et prorata 2015'!$L$56</f>
        <v>63.970588235294116</v>
      </c>
      <c r="J19" s="20">
        <f>C19*'Temps travail et prorata 2015'!$L$64</f>
        <v>178.67647058823528</v>
      </c>
      <c r="K19" s="20">
        <f>C19*'Temps travail et prorata 2015'!$L$71</f>
        <v>474.26470588235293</v>
      </c>
      <c r="L19" s="20">
        <f>C19*'Temps travail et prorata 2015'!$L$81</f>
        <v>110.29411764705883</v>
      </c>
      <c r="M19" s="20">
        <f>C19*'Temps travail et prorata 2015'!$L$88</f>
        <v>156.61764705882354</v>
      </c>
      <c r="N19" s="20">
        <f>C19*'Temps travail et prorata 2015'!$L$95</f>
        <v>111.17647058823529</v>
      </c>
      <c r="O19" s="20">
        <f>C19*'Temps travail et prorata 2015'!$L$103</f>
        <v>169.85294117647058</v>
      </c>
    </row>
    <row r="20" spans="1:15" x14ac:dyDescent="0.2">
      <c r="A20" s="13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ht="15" x14ac:dyDescent="0.25">
      <c r="A21" s="30" t="s">
        <v>144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5" x14ac:dyDescent="0.2">
      <c r="A22" s="28" t="s">
        <v>145</v>
      </c>
      <c r="B22" s="20">
        <f t="shared" si="0"/>
        <v>6000</v>
      </c>
      <c r="C22" s="20"/>
      <c r="D22" s="20">
        <f>C22*'Temps travail et prorata 2015'!$L$6</f>
        <v>0</v>
      </c>
      <c r="E22" s="20">
        <f>C22*'Temps travail et prorata 2015'!$L$18</f>
        <v>0</v>
      </c>
      <c r="F22" s="20">
        <f>C22*'Temps travail et prorata 2015'!$L$26</f>
        <v>0</v>
      </c>
      <c r="G22" s="20">
        <f>C22*'Temps travail et prorata 2015'!$L$46</f>
        <v>0</v>
      </c>
      <c r="H22" s="20">
        <f>C22*'Temps travail et prorata 2015'!$L$35</f>
        <v>0</v>
      </c>
      <c r="I22" s="20">
        <f>C22*'Temps travail et prorata 2015'!$L$56</f>
        <v>0</v>
      </c>
      <c r="J22" s="20">
        <f>C22*'Temps travail et prorata 2015'!$L$64</f>
        <v>0</v>
      </c>
      <c r="K22" s="20">
        <v>6000</v>
      </c>
      <c r="L22" s="20">
        <f>C22*'Temps travail et prorata 2015'!$L$81</f>
        <v>0</v>
      </c>
      <c r="M22" s="20">
        <f>C22*'Temps travail et prorata 2015'!$L$88</f>
        <v>0</v>
      </c>
      <c r="N22" s="20">
        <f>C22*'Temps travail et prorata 2015'!$L$95</f>
        <v>0</v>
      </c>
      <c r="O22" s="20">
        <f>C22*'Temps travail et prorata 2015'!$L$103</f>
        <v>0</v>
      </c>
    </row>
    <row r="23" spans="1:15" x14ac:dyDescent="0.2">
      <c r="A23" s="28" t="s">
        <v>147</v>
      </c>
      <c r="B23" s="20">
        <f t="shared" si="0"/>
        <v>0</v>
      </c>
      <c r="C23" s="20"/>
      <c r="D23" s="20">
        <f>C23*'Temps travail et prorata 2015'!$L$6</f>
        <v>0</v>
      </c>
      <c r="E23" s="20">
        <f>C23*'Temps travail et prorata 2015'!$L$18</f>
        <v>0</v>
      </c>
      <c r="F23" s="20">
        <f>C23*'Temps travail et prorata 2015'!$L$26</f>
        <v>0</v>
      </c>
      <c r="G23" s="20">
        <f>C23*'Temps travail et prorata 2015'!$L$46</f>
        <v>0</v>
      </c>
      <c r="H23" s="20">
        <f>C23*'Temps travail et prorata 2015'!$L$35</f>
        <v>0</v>
      </c>
      <c r="I23" s="20">
        <f>C23*'Temps travail et prorata 2015'!$L$56</f>
        <v>0</v>
      </c>
      <c r="J23" s="20">
        <f>C23*'Temps travail et prorata 2015'!$L$64</f>
        <v>0</v>
      </c>
      <c r="K23" s="20"/>
      <c r="L23" s="20">
        <f>C23*'Temps travail et prorata 2015'!$L$81</f>
        <v>0</v>
      </c>
      <c r="M23" s="20">
        <f>C23*'Temps travail et prorata 2015'!$L$88</f>
        <v>0</v>
      </c>
      <c r="N23" s="20">
        <f>C23*'Temps travail et prorata 2015'!$L$95</f>
        <v>0</v>
      </c>
      <c r="O23" s="20">
        <f>C23*'Temps travail et prorata 2015'!$L$103</f>
        <v>0</v>
      </c>
    </row>
    <row r="24" spans="1:15" x14ac:dyDescent="0.2">
      <c r="A24" s="28" t="s">
        <v>148</v>
      </c>
      <c r="B24" s="20">
        <f t="shared" si="0"/>
        <v>3015</v>
      </c>
      <c r="C24" s="20">
        <v>3015</v>
      </c>
      <c r="D24" s="20">
        <f>C24*'Temps travail et prorata 2015'!$L$6</f>
        <v>736.90147058823527</v>
      </c>
      <c r="E24" s="20">
        <f>C24*'Temps travail et prorata 2015'!$L$18</f>
        <v>610.09411764705885</v>
      </c>
      <c r="F24" s="20">
        <f>C24*'Temps travail et prorata 2015'!$L$26</f>
        <v>88.67647058823529</v>
      </c>
      <c r="G24" s="20">
        <f>C24*'Temps travail et prorata 2015'!$L$46</f>
        <v>152.96691176470588</v>
      </c>
      <c r="H24" s="20">
        <f>C24*'Temps travail et prorata 2015'!$L$35</f>
        <v>155.18382352941177</v>
      </c>
      <c r="I24" s="20">
        <f>C24*'Temps travail et prorata 2015'!$L$56</f>
        <v>64.290441176470594</v>
      </c>
      <c r="J24" s="20">
        <f>C24*'Temps travail et prorata 2015'!$L$64</f>
        <v>179.56985294117646</v>
      </c>
      <c r="K24" s="20">
        <f>C24*'Temps travail et prorata 2015'!$L$71</f>
        <v>476.6360294117647</v>
      </c>
      <c r="L24" s="20">
        <f>C24*'Temps travail et prorata 2015'!$L$81</f>
        <v>110.84558823529412</v>
      </c>
      <c r="M24" s="20">
        <f>C24*'Temps travail et prorata 2015'!$L$88</f>
        <v>157.40073529411765</v>
      </c>
      <c r="N24" s="20">
        <f>C24*'Temps travail et prorata 2015'!$L$95</f>
        <v>111.73235294117646</v>
      </c>
      <c r="O24" s="20">
        <f>C24*'Temps travail et prorata 2015'!$L$103</f>
        <v>170.70220588235293</v>
      </c>
    </row>
    <row r="25" spans="1:15" x14ac:dyDescent="0.2">
      <c r="A25" s="28" t="s">
        <v>150</v>
      </c>
      <c r="B25" s="20">
        <f t="shared" si="0"/>
        <v>3000.0000000000005</v>
      </c>
      <c r="C25" s="20">
        <v>3000</v>
      </c>
      <c r="D25" s="20">
        <f>C25*'Temps travail et prorata 2015'!$L$6</f>
        <v>733.23529411764707</v>
      </c>
      <c r="E25" s="20">
        <f>C25*'Temps travail et prorata 2015'!$L$18</f>
        <v>607.05882352941182</v>
      </c>
      <c r="F25" s="20">
        <f>C25*'Temps travail et prorata 2015'!$L$26</f>
        <v>88.235294117647058</v>
      </c>
      <c r="G25" s="20">
        <f>C25*'Temps travail et prorata 2015'!$L$46</f>
        <v>152.20588235294119</v>
      </c>
      <c r="H25" s="20">
        <f>C25*'Temps travail et prorata 2015'!$L$35</f>
        <v>154.41176470588235</v>
      </c>
      <c r="I25" s="20">
        <f>C25*'Temps travail et prorata 2015'!$L$56</f>
        <v>63.970588235294116</v>
      </c>
      <c r="J25" s="20">
        <f>C25*'Temps travail et prorata 2015'!$L$64</f>
        <v>178.67647058823528</v>
      </c>
      <c r="K25" s="20">
        <f>C25*'Temps travail et prorata 2015'!$L$71</f>
        <v>474.26470588235293</v>
      </c>
      <c r="L25" s="20">
        <f>C25*'Temps travail et prorata 2015'!$L$81</f>
        <v>110.29411764705883</v>
      </c>
      <c r="M25" s="20">
        <f>C25*'Temps travail et prorata 2015'!$L$88</f>
        <v>156.61764705882354</v>
      </c>
      <c r="N25" s="20">
        <f>C25*'Temps travail et prorata 2015'!$L$95</f>
        <v>111.17647058823529</v>
      </c>
      <c r="O25" s="20">
        <f>C25*'Temps travail et prorata 2015'!$L$103</f>
        <v>169.85294117647058</v>
      </c>
    </row>
    <row r="26" spans="1:15" x14ac:dyDescent="0.2">
      <c r="A26" s="28" t="s">
        <v>183</v>
      </c>
      <c r="B26" s="20">
        <f t="shared" si="0"/>
        <v>1500.0000000000002</v>
      </c>
      <c r="C26" s="20">
        <v>1500</v>
      </c>
      <c r="D26" s="20">
        <f>C26*'Temps travail et prorata 2015'!$L$6</f>
        <v>366.61764705882354</v>
      </c>
      <c r="E26" s="20">
        <f>C26*'Temps travail et prorata 2015'!$L$18</f>
        <v>303.52941176470591</v>
      </c>
      <c r="F26" s="20">
        <f>C26*'Temps travail et prorata 2015'!$L$26</f>
        <v>44.117647058823529</v>
      </c>
      <c r="G26" s="20">
        <f>C26*'Temps travail et prorata 2015'!$L$46</f>
        <v>76.102941176470594</v>
      </c>
      <c r="H26" s="20">
        <f>C26*'Temps travail et prorata 2015'!$L$35</f>
        <v>77.205882352941174</v>
      </c>
      <c r="I26" s="20">
        <f>C26*'Temps travail et prorata 2015'!$L$56</f>
        <v>31.985294117647058</v>
      </c>
      <c r="J26" s="20">
        <f>C26*'Temps travail et prorata 2015'!$L$64</f>
        <v>89.338235294117638</v>
      </c>
      <c r="K26" s="20">
        <f>C26*'Temps travail et prorata 2015'!$L$71</f>
        <v>237.13235294117646</v>
      </c>
      <c r="L26" s="20">
        <f>C26*'Temps travail et prorata 2015'!$L$81</f>
        <v>55.147058823529413</v>
      </c>
      <c r="M26" s="20">
        <f>C26*'Temps travail et prorata 2015'!$L$88</f>
        <v>78.308823529411768</v>
      </c>
      <c r="N26" s="20">
        <f>C26*'Temps travail et prorata 2015'!$L$95</f>
        <v>55.588235294117645</v>
      </c>
      <c r="O26" s="20">
        <f>C26*'Temps travail et prorata 2015'!$L$103</f>
        <v>84.92647058823529</v>
      </c>
    </row>
    <row r="27" spans="1:15" x14ac:dyDescent="0.2">
      <c r="A27" s="28" t="s">
        <v>151</v>
      </c>
      <c r="B27" s="20">
        <f t="shared" si="0"/>
        <v>8000</v>
      </c>
      <c r="C27" s="20">
        <v>8000</v>
      </c>
      <c r="D27" s="20">
        <f>C27*'Temps travail et prorata 2015'!$L$6</f>
        <v>1955.2941176470588</v>
      </c>
      <c r="E27" s="20">
        <f>C27*'Temps travail et prorata 2015'!$L$18</f>
        <v>1618.8235294117649</v>
      </c>
      <c r="F27" s="20">
        <f>C27*'Temps travail et prorata 2015'!$L$26</f>
        <v>235.29411764705881</v>
      </c>
      <c r="G27" s="20">
        <f>C27*'Temps travail et prorata 2015'!$L$46</f>
        <v>405.88235294117646</v>
      </c>
      <c r="H27" s="20">
        <f>C27*'Temps travail et prorata 2015'!$L$35</f>
        <v>411.76470588235293</v>
      </c>
      <c r="I27" s="20">
        <f>C27*'Temps travail et prorata 2015'!$L$56</f>
        <v>170.58823529411765</v>
      </c>
      <c r="J27" s="20">
        <f>C27*'Temps travail et prorata 2015'!$L$64</f>
        <v>476.47058823529409</v>
      </c>
      <c r="K27" s="20">
        <f>C27*'Temps travail et prorata 2015'!$L$71</f>
        <v>1264.7058823529412</v>
      </c>
      <c r="L27" s="20">
        <f>C27*'Temps travail et prorata 2015'!$L$81</f>
        <v>294.11764705882354</v>
      </c>
      <c r="M27" s="20">
        <f>C27*'Temps travail et prorata 2015'!$L$88</f>
        <v>417.64705882352945</v>
      </c>
      <c r="N27" s="20">
        <f>C27*'Temps travail et prorata 2015'!$L$95</f>
        <v>296.47058823529409</v>
      </c>
      <c r="O27" s="20">
        <f>C27*'Temps travail et prorata 2015'!$L$103</f>
        <v>452.94117647058823</v>
      </c>
    </row>
    <row r="28" spans="1:15" x14ac:dyDescent="0.2">
      <c r="A28" s="28" t="s">
        <v>152</v>
      </c>
      <c r="B28" s="20">
        <f t="shared" si="0"/>
        <v>300</v>
      </c>
      <c r="C28" s="20">
        <v>300</v>
      </c>
      <c r="D28" s="20">
        <f>C28*'Temps travail et prorata 2015'!$L$6</f>
        <v>73.32352941176471</v>
      </c>
      <c r="E28" s="20">
        <f>C28*'Temps travail et prorata 2015'!$L$18</f>
        <v>60.705882352941181</v>
      </c>
      <c r="F28" s="20">
        <f>C28*'Temps travail et prorata 2015'!$L$26</f>
        <v>8.8235294117647065</v>
      </c>
      <c r="G28" s="20">
        <f>C28*'Temps travail et prorata 2015'!$L$46</f>
        <v>15.220588235294118</v>
      </c>
      <c r="H28" s="20">
        <f>C28*'Temps travail et prorata 2015'!$L$35</f>
        <v>15.441176470588234</v>
      </c>
      <c r="I28" s="20">
        <f>C28*'Temps travail et prorata 2015'!$L$56</f>
        <v>6.3970588235294121</v>
      </c>
      <c r="J28" s="20">
        <f>C28*'Temps travail et prorata 2015'!$L$64</f>
        <v>17.867647058823529</v>
      </c>
      <c r="K28" s="20">
        <f>C28*'Temps travail et prorata 2015'!$L$71</f>
        <v>47.42647058823529</v>
      </c>
      <c r="L28" s="20">
        <f>C28*'Temps travail et prorata 2015'!$L$81</f>
        <v>11.029411764705882</v>
      </c>
      <c r="M28" s="20">
        <f>C28*'Temps travail et prorata 2015'!$L$88</f>
        <v>15.661764705882353</v>
      </c>
      <c r="N28" s="20">
        <f>C28*'Temps travail et prorata 2015'!$L$95</f>
        <v>11.117647058823529</v>
      </c>
      <c r="O28" s="20">
        <f>C28*'Temps travail et prorata 2015'!$L$103</f>
        <v>16.985294117647058</v>
      </c>
    </row>
    <row r="29" spans="1:15" x14ac:dyDescent="0.2">
      <c r="A29" s="28" t="s">
        <v>153</v>
      </c>
      <c r="B29" s="20">
        <f t="shared" si="0"/>
        <v>500</v>
      </c>
      <c r="C29" s="20">
        <v>500</v>
      </c>
      <c r="D29" s="20">
        <f>C29*'Temps travail et prorata 2015'!$L$6</f>
        <v>122.20588235294117</v>
      </c>
      <c r="E29" s="20">
        <f>C29*'Temps travail et prorata 2015'!$L$18</f>
        <v>101.1764705882353</v>
      </c>
      <c r="F29" s="20">
        <f>C29*'Temps travail et prorata 2015'!$L$26</f>
        <v>14.705882352941176</v>
      </c>
      <c r="G29" s="20">
        <f>C29*'Temps travail et prorata 2015'!$L$46</f>
        <v>25.367647058823529</v>
      </c>
      <c r="H29" s="20">
        <f>C29*'Temps travail et prorata 2015'!$L$35</f>
        <v>25.735294117647058</v>
      </c>
      <c r="I29" s="20">
        <f>C29*'Temps travail et prorata 2015'!$L$56</f>
        <v>10.661764705882353</v>
      </c>
      <c r="J29" s="20">
        <f>C29*'Temps travail et prorata 2015'!$L$64</f>
        <v>29.77941176470588</v>
      </c>
      <c r="K29" s="20">
        <f>C29*'Temps travail et prorata 2015'!$L$71</f>
        <v>79.044117647058826</v>
      </c>
      <c r="L29" s="20">
        <f>C29*'Temps travail et prorata 2015'!$L$81</f>
        <v>18.382352941176471</v>
      </c>
      <c r="M29" s="20">
        <f>C29*'Temps travail et prorata 2015'!$L$88</f>
        <v>26.102941176470591</v>
      </c>
      <c r="N29" s="20">
        <f>C29*'Temps travail et prorata 2015'!$L$95</f>
        <v>18.52941176470588</v>
      </c>
      <c r="O29" s="20">
        <f>C29*'Temps travail et prorata 2015'!$L$103</f>
        <v>28.308823529411764</v>
      </c>
    </row>
    <row r="30" spans="1:15" x14ac:dyDescent="0.2">
      <c r="A30" s="28" t="s">
        <v>154</v>
      </c>
      <c r="B30" s="20">
        <f t="shared" si="0"/>
        <v>700</v>
      </c>
      <c r="C30" s="20"/>
      <c r="D30" s="20">
        <f>C30*'Temps travail et prorata 2015'!$L$6</f>
        <v>0</v>
      </c>
      <c r="E30" s="20">
        <f>C30*'Temps travail et prorata 2015'!$L$18</f>
        <v>0</v>
      </c>
      <c r="F30" s="20">
        <f>C30*'Temps travail et prorata 2015'!$L$26</f>
        <v>0</v>
      </c>
      <c r="G30" s="20">
        <f>C30*'Temps travail et prorata 2015'!$L$46</f>
        <v>0</v>
      </c>
      <c r="H30" s="20">
        <f>C30*'Temps travail et prorata 2015'!$L$35</f>
        <v>0</v>
      </c>
      <c r="I30" s="20">
        <f>C30*'Temps travail et prorata 2015'!$L$56</f>
        <v>0</v>
      </c>
      <c r="J30" s="20">
        <f>C30*'Temps travail et prorata 2015'!$L$64</f>
        <v>0</v>
      </c>
      <c r="K30" s="20">
        <v>700</v>
      </c>
      <c r="L30" s="20">
        <f>C30*'Temps travail et prorata 2015'!$L$81</f>
        <v>0</v>
      </c>
      <c r="M30" s="20">
        <f>C30*'Temps travail et prorata 2015'!$L$88</f>
        <v>0</v>
      </c>
      <c r="N30" s="20">
        <f>C30*'Temps travail et prorata 2015'!$L$95</f>
        <v>0</v>
      </c>
      <c r="O30" s="20">
        <f>C30*'Temps travail et prorata 2015'!$L$103</f>
        <v>0</v>
      </c>
    </row>
    <row r="31" spans="1:15" x14ac:dyDescent="0.2">
      <c r="A31" s="28" t="s">
        <v>155</v>
      </c>
      <c r="B31" s="20">
        <f t="shared" si="0"/>
        <v>500</v>
      </c>
      <c r="C31" s="20">
        <v>500</v>
      </c>
      <c r="D31" s="20">
        <f>C31*'Temps travail et prorata 2015'!$L$6</f>
        <v>122.20588235294117</v>
      </c>
      <c r="E31" s="20">
        <f>C31*'Temps travail et prorata 2015'!$L$18</f>
        <v>101.1764705882353</v>
      </c>
      <c r="F31" s="20">
        <f>C31*'Temps travail et prorata 2015'!$L$26</f>
        <v>14.705882352941176</v>
      </c>
      <c r="G31" s="20">
        <f>C31*'Temps travail et prorata 2015'!$L$46</f>
        <v>25.367647058823529</v>
      </c>
      <c r="H31" s="20">
        <f>C31*'Temps travail et prorata 2015'!$L$35</f>
        <v>25.735294117647058</v>
      </c>
      <c r="I31" s="20">
        <f>C31*'Temps travail et prorata 2015'!$L$56</f>
        <v>10.661764705882353</v>
      </c>
      <c r="J31" s="20">
        <f>C31*'Temps travail et prorata 2015'!$L$64</f>
        <v>29.77941176470588</v>
      </c>
      <c r="K31" s="20">
        <f>C31*'Temps travail et prorata 2015'!$L$71</f>
        <v>79.044117647058826</v>
      </c>
      <c r="L31" s="20">
        <f>C31*'Temps travail et prorata 2015'!$L$81</f>
        <v>18.382352941176471</v>
      </c>
      <c r="M31" s="20">
        <f>C31*'Temps travail et prorata 2015'!$L$88</f>
        <v>26.102941176470591</v>
      </c>
      <c r="N31" s="20">
        <f>C31*'Temps travail et prorata 2015'!$L$95</f>
        <v>18.52941176470588</v>
      </c>
      <c r="O31" s="20">
        <f>C31*'Temps travail et prorata 2015'!$L$103</f>
        <v>28.308823529411764</v>
      </c>
    </row>
    <row r="32" spans="1:15" x14ac:dyDescent="0.2">
      <c r="A32" s="28" t="s">
        <v>90</v>
      </c>
      <c r="B32" s="20">
        <f t="shared" si="0"/>
        <v>0</v>
      </c>
      <c r="C32" s="20"/>
      <c r="D32" s="20">
        <f>C32*'Temps travail et prorata 2015'!$L$6</f>
        <v>0</v>
      </c>
      <c r="E32" s="20">
        <f>C32*'Temps travail et prorata 2015'!$L$18</f>
        <v>0</v>
      </c>
      <c r="F32" s="20">
        <f>C32*'Temps travail et prorata 2015'!$L$26</f>
        <v>0</v>
      </c>
      <c r="G32" s="20">
        <f>C32*'Temps travail et prorata 2015'!$L$46</f>
        <v>0</v>
      </c>
      <c r="H32" s="20">
        <f>C32*'Temps travail et prorata 2015'!$L$35</f>
        <v>0</v>
      </c>
      <c r="I32" s="20">
        <f>C32*'Temps travail et prorata 2015'!$L$56</f>
        <v>0</v>
      </c>
      <c r="J32" s="20">
        <f>C32*'Temps travail et prorata 2015'!$L$64</f>
        <v>0</v>
      </c>
      <c r="K32" s="20">
        <f>C32*'Temps travail et prorata 2015'!$L$71</f>
        <v>0</v>
      </c>
      <c r="L32" s="20">
        <f>C32*'Temps travail et prorata 2015'!$L$81</f>
        <v>0</v>
      </c>
      <c r="M32" s="20">
        <f>C32*'Temps travail et prorata 2015'!$L$88</f>
        <v>0</v>
      </c>
      <c r="N32" s="20">
        <f>C32*'Temps travail et prorata 2015'!$L$95</f>
        <v>0</v>
      </c>
      <c r="O32" s="20">
        <f>C32*'Temps travail et prorata 2015'!$L$103</f>
        <v>0</v>
      </c>
    </row>
    <row r="33" spans="1:15" x14ac:dyDescent="0.2">
      <c r="A33" s="28" t="s">
        <v>91</v>
      </c>
      <c r="B33" s="20">
        <f t="shared" si="0"/>
        <v>500</v>
      </c>
      <c r="C33" s="20">
        <v>500</v>
      </c>
      <c r="D33" s="20">
        <f>C33*'Temps travail et prorata 2015'!$L$6</f>
        <v>122.20588235294117</v>
      </c>
      <c r="E33" s="20">
        <f>C33*'Temps travail et prorata 2015'!$L$18</f>
        <v>101.1764705882353</v>
      </c>
      <c r="F33" s="20">
        <f>C33*'Temps travail et prorata 2015'!$L$26</f>
        <v>14.705882352941176</v>
      </c>
      <c r="G33" s="20">
        <f>C33*'Temps travail et prorata 2015'!$L$46</f>
        <v>25.367647058823529</v>
      </c>
      <c r="H33" s="20">
        <f>C33*'Temps travail et prorata 2015'!$L$35</f>
        <v>25.735294117647058</v>
      </c>
      <c r="I33" s="20">
        <f>C33*'Temps travail et prorata 2015'!$L$56</f>
        <v>10.661764705882353</v>
      </c>
      <c r="J33" s="20">
        <f>C33*'Temps travail et prorata 2015'!$L$64</f>
        <v>29.77941176470588</v>
      </c>
      <c r="K33" s="20">
        <f>C33*'Temps travail et prorata 2015'!$L$71</f>
        <v>79.044117647058826</v>
      </c>
      <c r="L33" s="20">
        <f>C33*'Temps travail et prorata 2015'!$L$81</f>
        <v>18.382352941176471</v>
      </c>
      <c r="M33" s="20">
        <f>C33*'Temps travail et prorata 2015'!$L$88</f>
        <v>26.102941176470591</v>
      </c>
      <c r="N33" s="20">
        <f>C33*'Temps travail et prorata 2015'!$L$95</f>
        <v>18.52941176470588</v>
      </c>
      <c r="O33" s="20">
        <f>C33*'Temps travail et prorata 2015'!$L$103</f>
        <v>28.308823529411764</v>
      </c>
    </row>
    <row r="34" spans="1:15" x14ac:dyDescent="0.2">
      <c r="A34" s="28" t="s">
        <v>92</v>
      </c>
      <c r="B34" s="20">
        <f t="shared" si="0"/>
        <v>699.99999999999989</v>
      </c>
      <c r="C34" s="20">
        <v>700</v>
      </c>
      <c r="D34" s="20">
        <f>C34*'Temps travail et prorata 2015'!$L$6</f>
        <v>171.08823529411765</v>
      </c>
      <c r="E34" s="20">
        <f>C34*'Temps travail et prorata 2015'!$L$18</f>
        <v>141.64705882352942</v>
      </c>
      <c r="F34" s="20">
        <f>C34*'Temps travail et prorata 2015'!$L$26</f>
        <v>20.588235294117649</v>
      </c>
      <c r="G34" s="20">
        <f>C34*'Temps travail et prorata 2015'!$L$46</f>
        <v>35.514705882352942</v>
      </c>
      <c r="H34" s="20">
        <f>C34*'Temps travail et prorata 2015'!$L$35</f>
        <v>36.029411764705884</v>
      </c>
      <c r="I34" s="20">
        <f>C34*'Temps travail et prorata 2015'!$L$56</f>
        <v>14.926470588235295</v>
      </c>
      <c r="J34" s="20">
        <f>C34*'Temps travail et prorata 2015'!$L$64</f>
        <v>41.691176470588232</v>
      </c>
      <c r="K34" s="20">
        <f>C34*'Temps travail et prorata 2015'!$L$71</f>
        <v>110.66176470588235</v>
      </c>
      <c r="L34" s="20">
        <f>C34*'Temps travail et prorata 2015'!$L$81</f>
        <v>25.735294117647058</v>
      </c>
      <c r="M34" s="20">
        <f>C34*'Temps travail et prorata 2015'!$L$88</f>
        <v>36.544117647058826</v>
      </c>
      <c r="N34" s="20">
        <f>C34*'Temps travail et prorata 2015'!$L$95</f>
        <v>25.941176470588232</v>
      </c>
      <c r="O34" s="20">
        <f>C34*'Temps travail et prorata 2015'!$L$103</f>
        <v>39.632352941176471</v>
      </c>
    </row>
    <row r="35" spans="1:15" x14ac:dyDescent="0.2">
      <c r="A35" s="28" t="s">
        <v>93</v>
      </c>
      <c r="B35" s="20">
        <f t="shared" si="0"/>
        <v>1200</v>
      </c>
      <c r="C35" s="20">
        <v>1200</v>
      </c>
      <c r="D35" s="20">
        <f>C35*'Temps travail et prorata 2015'!$L$6</f>
        <v>293.29411764705884</v>
      </c>
      <c r="E35" s="20">
        <f>C35*'Temps travail et prorata 2015'!$L$18</f>
        <v>242.82352941176472</v>
      </c>
      <c r="F35" s="20">
        <f>C35*'Temps travail et prorata 2015'!$L$26</f>
        <v>35.294117647058826</v>
      </c>
      <c r="G35" s="20">
        <f>C35*'Temps travail et prorata 2015'!$L$46</f>
        <v>60.882352941176471</v>
      </c>
      <c r="H35" s="20">
        <f>C35*'Temps travail et prorata 2015'!$L$35</f>
        <v>61.764705882352935</v>
      </c>
      <c r="I35" s="20">
        <f>C35*'Temps travail et prorata 2015'!$L$56</f>
        <v>25.588235294117649</v>
      </c>
      <c r="J35" s="20">
        <f>C35*'Temps travail et prorata 2015'!$L$64</f>
        <v>71.470588235294116</v>
      </c>
      <c r="K35" s="20">
        <f>C35*'Temps travail et prorata 2015'!$L$71</f>
        <v>189.70588235294116</v>
      </c>
      <c r="L35" s="20">
        <f>C35*'Temps travail et prorata 2015'!$L$81</f>
        <v>44.117647058823529</v>
      </c>
      <c r="M35" s="20">
        <f>C35*'Temps travail et prorata 2015'!$L$88</f>
        <v>62.647058823529413</v>
      </c>
      <c r="N35" s="20">
        <f>C35*'Temps travail et prorata 2015'!$L$95</f>
        <v>44.470588235294116</v>
      </c>
      <c r="O35" s="20">
        <f>C35*'Temps travail et prorata 2015'!$L$103</f>
        <v>67.941176470588232</v>
      </c>
    </row>
    <row r="36" spans="1:15" x14ac:dyDescent="0.2">
      <c r="A36" s="28" t="s">
        <v>97</v>
      </c>
      <c r="B36" s="20">
        <f t="shared" si="0"/>
        <v>1200</v>
      </c>
      <c r="C36" s="20">
        <v>1200</v>
      </c>
      <c r="D36" s="20">
        <f>C36*'Temps travail et prorata 2015'!$L$6</f>
        <v>293.29411764705884</v>
      </c>
      <c r="E36" s="20">
        <f>C36*'Temps travail et prorata 2015'!$L$18</f>
        <v>242.82352941176472</v>
      </c>
      <c r="F36" s="20">
        <f>C36*'Temps travail et prorata 2015'!$L$26</f>
        <v>35.294117647058826</v>
      </c>
      <c r="G36" s="20">
        <f>C36*'Temps travail et prorata 2015'!$L$46</f>
        <v>60.882352941176471</v>
      </c>
      <c r="H36" s="20">
        <f>C36*'Temps travail et prorata 2015'!$L$35</f>
        <v>61.764705882352935</v>
      </c>
      <c r="I36" s="20">
        <f>C36*'Temps travail et prorata 2015'!$L$56</f>
        <v>25.588235294117649</v>
      </c>
      <c r="J36" s="20">
        <f>C36*'Temps travail et prorata 2015'!$L$64</f>
        <v>71.470588235294116</v>
      </c>
      <c r="K36" s="20">
        <f>C36*'Temps travail et prorata 2015'!$L$71</f>
        <v>189.70588235294116</v>
      </c>
      <c r="L36" s="20">
        <f>C36*'Temps travail et prorata 2015'!$L$81</f>
        <v>44.117647058823529</v>
      </c>
      <c r="M36" s="20">
        <f>C36*'Temps travail et prorata 2015'!$L$88</f>
        <v>62.647058823529413</v>
      </c>
      <c r="N36" s="20">
        <f>C36*'Temps travail et prorata 2015'!$L$95</f>
        <v>44.470588235294116</v>
      </c>
      <c r="O36" s="20">
        <f>C36*'Temps travail et prorata 2015'!$L$103</f>
        <v>67.941176470588232</v>
      </c>
    </row>
    <row r="37" spans="1:15" x14ac:dyDescent="0.2">
      <c r="A37" s="28" t="s">
        <v>94</v>
      </c>
      <c r="B37" s="20">
        <f t="shared" si="0"/>
        <v>120</v>
      </c>
      <c r="C37" s="20">
        <v>120</v>
      </c>
      <c r="D37" s="20">
        <f>C37*'Temps travail et prorata 2015'!$L$6</f>
        <v>29.329411764705881</v>
      </c>
      <c r="E37" s="20">
        <f>C37*'Temps travail et prorata 2015'!$L$18</f>
        <v>24.282352941176473</v>
      </c>
      <c r="F37" s="20">
        <f>C37*'Temps travail et prorata 2015'!$L$26</f>
        <v>3.5294117647058822</v>
      </c>
      <c r="G37" s="20">
        <f>C37*'Temps travail et prorata 2015'!$L$46</f>
        <v>6.0882352941176467</v>
      </c>
      <c r="H37" s="20">
        <f>C37*'Temps travail et prorata 2015'!$L$35</f>
        <v>6.1764705882352935</v>
      </c>
      <c r="I37" s="20">
        <f>C37*'Temps travail et prorata 2015'!$L$56</f>
        <v>2.5588235294117649</v>
      </c>
      <c r="J37" s="20">
        <f>C37*'Temps travail et prorata 2015'!$L$64</f>
        <v>7.1470588235294112</v>
      </c>
      <c r="K37" s="20">
        <f>C37*'Temps travail et prorata 2015'!$L$71</f>
        <v>18.970588235294116</v>
      </c>
      <c r="L37" s="20">
        <f>C37*'Temps travail et prorata 2015'!$L$81</f>
        <v>4.4117647058823533</v>
      </c>
      <c r="M37" s="20">
        <f>C37*'Temps travail et prorata 2015'!$L$88</f>
        <v>6.2647058823529411</v>
      </c>
      <c r="N37" s="20">
        <f>C37*'Temps travail et prorata 2015'!$L$95</f>
        <v>4.4470588235294111</v>
      </c>
      <c r="O37" s="20">
        <f>C37*'Temps travail et prorata 2015'!$L$103</f>
        <v>6.7941176470588234</v>
      </c>
    </row>
    <row r="38" spans="1:15" x14ac:dyDescent="0.2">
      <c r="A38" s="28" t="s">
        <v>95</v>
      </c>
      <c r="B38" s="20">
        <f t="shared" si="0"/>
        <v>799.99999999999989</v>
      </c>
      <c r="C38" s="20">
        <v>800</v>
      </c>
      <c r="D38" s="20">
        <f>C38*'Temps travail et prorata 2015'!$L$6</f>
        <v>195.52941176470588</v>
      </c>
      <c r="E38" s="20">
        <f>C38*'Temps travail et prorata 2015'!$L$18</f>
        <v>161.88235294117646</v>
      </c>
      <c r="F38" s="20">
        <f>C38*'Temps travail et prorata 2015'!$L$26</f>
        <v>23.52941176470588</v>
      </c>
      <c r="G38" s="20">
        <f>C38*'Temps travail et prorata 2015'!$L$46</f>
        <v>40.588235294117645</v>
      </c>
      <c r="H38" s="20">
        <f>C38*'Temps travail et prorata 2015'!$L$35</f>
        <v>41.17647058823529</v>
      </c>
      <c r="I38" s="20">
        <f>C38*'Temps travail et prorata 2015'!$L$56</f>
        <v>17.058823529411764</v>
      </c>
      <c r="J38" s="20">
        <f>C38*'Temps travail et prorata 2015'!$L$64</f>
        <v>47.647058823529406</v>
      </c>
      <c r="K38" s="20">
        <f>C38*'Temps travail et prorata 2015'!$L$71</f>
        <v>126.47058823529412</v>
      </c>
      <c r="L38" s="20">
        <f>C38*'Temps travail et prorata 2015'!$L$81</f>
        <v>29.411764705882355</v>
      </c>
      <c r="M38" s="20">
        <f>C38*'Temps travail et prorata 2015'!$L$88</f>
        <v>41.764705882352942</v>
      </c>
      <c r="N38" s="20">
        <f>C38*'Temps travail et prorata 2015'!$L$95</f>
        <v>29.647058823529409</v>
      </c>
      <c r="O38" s="20">
        <f>C38*'Temps travail et prorata 2015'!$L$103</f>
        <v>45.294117647058826</v>
      </c>
    </row>
    <row r="39" spans="1:15" x14ac:dyDescent="0.2">
      <c r="A39" s="28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1:15" ht="15" x14ac:dyDescent="0.25">
      <c r="A40" s="27" t="s">
        <v>96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1:15" x14ac:dyDescent="0.2">
      <c r="A41" s="28" t="s">
        <v>116</v>
      </c>
      <c r="B41" s="20">
        <f t="shared" si="0"/>
        <v>150</v>
      </c>
      <c r="C41" s="20"/>
      <c r="D41" s="20"/>
      <c r="E41" s="20"/>
      <c r="F41" s="20"/>
      <c r="G41" s="20"/>
      <c r="H41" s="20"/>
      <c r="I41" s="20"/>
      <c r="J41" s="20"/>
      <c r="K41" s="20">
        <v>150</v>
      </c>
      <c r="L41" s="20"/>
      <c r="M41" s="20"/>
      <c r="N41" s="20"/>
      <c r="O41" s="20"/>
    </row>
    <row r="42" spans="1:15" x14ac:dyDescent="0.2">
      <c r="A42" s="28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5" ht="15" x14ac:dyDescent="0.25">
      <c r="A43" s="27" t="s">
        <v>107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5" x14ac:dyDescent="0.2">
      <c r="A44" s="32" t="s">
        <v>163</v>
      </c>
      <c r="B44" s="20">
        <f>SUM(D44:O44)</f>
        <v>43000.000000000007</v>
      </c>
      <c r="C44" s="20"/>
      <c r="D44" s="20">
        <f>618/1820*B65</f>
        <v>14601.098901098901</v>
      </c>
      <c r="E44" s="20">
        <f>B65*210/1820</f>
        <v>4961.5384615384619</v>
      </c>
      <c r="F44" s="20">
        <f>B65*90/1820</f>
        <v>2126.3736263736264</v>
      </c>
      <c r="G44" s="20">
        <f>B65*189/1820</f>
        <v>4465.3846153846152</v>
      </c>
      <c r="H44" s="20">
        <f>B65*199/1820</f>
        <v>4701.6483516483513</v>
      </c>
      <c r="I44" s="20">
        <f>50/1820*B65</f>
        <v>1181.3186813186812</v>
      </c>
      <c r="J44" s="20">
        <f>30/1820*B65</f>
        <v>708.79120879120876</v>
      </c>
      <c r="K44" s="20">
        <f>150/1820*B65</f>
        <v>3543.9560439560437</v>
      </c>
      <c r="L44" s="20">
        <f>70/1820*B65</f>
        <v>1653.846153846154</v>
      </c>
      <c r="M44" s="20">
        <f>70/1820*B65</f>
        <v>1653.846153846154</v>
      </c>
      <c r="N44" s="20">
        <f>94/1820*B65</f>
        <v>2220.8791208791208</v>
      </c>
      <c r="O44" s="20">
        <f>50/1820*B65</f>
        <v>1181.3186813186812</v>
      </c>
    </row>
    <row r="45" spans="1:15" x14ac:dyDescent="0.2">
      <c r="A45" s="28" t="s">
        <v>108</v>
      </c>
      <c r="B45" s="20">
        <f t="shared" si="0"/>
        <v>43000</v>
      </c>
      <c r="C45" s="20"/>
      <c r="D45" s="20">
        <f>888/1820*B66</f>
        <v>20980.219780219781</v>
      </c>
      <c r="E45" s="20"/>
      <c r="F45" s="20">
        <f>B66*96/1820</f>
        <v>2268.131868131868</v>
      </c>
      <c r="G45" s="20">
        <f>48/1820*B66</f>
        <v>1134.065934065934</v>
      </c>
      <c r="H45" s="20">
        <f>48/1820*B66</f>
        <v>1134.065934065934</v>
      </c>
      <c r="I45" s="20">
        <f>30/1820*B66</f>
        <v>708.79120879120876</v>
      </c>
      <c r="J45" s="20"/>
      <c r="K45" s="20">
        <f>320/1820*B66</f>
        <v>7560.4395604395613</v>
      </c>
      <c r="L45" s="20">
        <f>160/1820*B66</f>
        <v>3780.2197802197807</v>
      </c>
      <c r="M45" s="20">
        <f>120/1820*B66</f>
        <v>2835.164835164835</v>
      </c>
      <c r="N45" s="20">
        <f>70/1820*B66</f>
        <v>1653.846153846154</v>
      </c>
      <c r="O45" s="20">
        <f>40/1820*B66</f>
        <v>945.05494505494516</v>
      </c>
    </row>
    <row r="46" spans="1:15" x14ac:dyDescent="0.2">
      <c r="A46" s="28" t="s">
        <v>106</v>
      </c>
      <c r="B46" s="20">
        <f t="shared" si="0"/>
        <v>20000</v>
      </c>
      <c r="C46" s="20"/>
      <c r="D46" s="20">
        <f>338/1820*B67</f>
        <v>3714.2857142857142</v>
      </c>
      <c r="E46" s="20">
        <f>B67*540/1820</f>
        <v>5934.065934065934</v>
      </c>
      <c r="F46" s="20">
        <f>B67*96/1820</f>
        <v>1054.9450549450548</v>
      </c>
      <c r="G46" s="20">
        <f>48/1820*B67</f>
        <v>527.47252747252742</v>
      </c>
      <c r="H46" s="20">
        <f>48/1820*B67</f>
        <v>527.47252747252742</v>
      </c>
      <c r="I46" s="20">
        <f>30/1820*B67</f>
        <v>329.67032967032969</v>
      </c>
      <c r="J46" s="20">
        <f>50/1820*B67</f>
        <v>549.45054945054949</v>
      </c>
      <c r="K46" s="20">
        <f>320/1820*B67</f>
        <v>3516.4835164835167</v>
      </c>
      <c r="L46" s="20">
        <f>160/1820*B67</f>
        <v>1758.2417582417584</v>
      </c>
      <c r="M46" s="20">
        <f>120/1820*B67</f>
        <v>1318.6813186813188</v>
      </c>
      <c r="N46" s="20">
        <f>70/1820*B67</f>
        <v>769.23076923076928</v>
      </c>
      <c r="O46" s="20"/>
    </row>
    <row r="47" spans="1:15" x14ac:dyDescent="0.2">
      <c r="A47" s="28" t="s">
        <v>186</v>
      </c>
      <c r="B47" s="20">
        <f t="shared" si="0"/>
        <v>14400</v>
      </c>
      <c r="C47" s="20"/>
      <c r="D47" s="20"/>
      <c r="E47" s="20"/>
      <c r="F47" s="20"/>
      <c r="G47" s="20">
        <f>B68*65/640</f>
        <v>1462.5</v>
      </c>
      <c r="H47" s="20">
        <f>B68*35/640</f>
        <v>787.5</v>
      </c>
      <c r="I47" s="20">
        <f>50/640*B68</f>
        <v>1125</v>
      </c>
      <c r="J47" s="20">
        <f>300/640*B68</f>
        <v>6750</v>
      </c>
      <c r="K47" s="20">
        <f>140/640*B68</f>
        <v>3150</v>
      </c>
      <c r="L47" s="20"/>
      <c r="M47" s="20"/>
      <c r="N47" s="20"/>
      <c r="O47" s="20">
        <f>50/640*B68</f>
        <v>1125</v>
      </c>
    </row>
    <row r="48" spans="1:15" x14ac:dyDescent="0.2">
      <c r="A48" s="28" t="s">
        <v>42</v>
      </c>
      <c r="B48" s="20">
        <f t="shared" si="0"/>
        <v>14400</v>
      </c>
      <c r="C48" s="20"/>
      <c r="D48" s="20"/>
      <c r="E48" s="20"/>
      <c r="F48" s="20"/>
      <c r="G48" s="20">
        <f>120*B69/640</f>
        <v>2700</v>
      </c>
      <c r="H48" s="20">
        <f>B69*120/640</f>
        <v>2700</v>
      </c>
      <c r="I48" s="20">
        <f>50/640*B69</f>
        <v>1125</v>
      </c>
      <c r="J48" s="20">
        <f>250/640*B69</f>
        <v>5625</v>
      </c>
      <c r="K48" s="20">
        <f>50/640*B69</f>
        <v>1125</v>
      </c>
      <c r="L48" s="20"/>
      <c r="M48" s="20"/>
      <c r="N48" s="20"/>
      <c r="O48" s="20">
        <f>50/640*B69</f>
        <v>1125</v>
      </c>
    </row>
    <row r="49" spans="1:15" x14ac:dyDescent="0.2">
      <c r="A49" s="28" t="s">
        <v>41</v>
      </c>
      <c r="B49" s="20">
        <f t="shared" si="0"/>
        <v>4000</v>
      </c>
      <c r="C49" s="20"/>
      <c r="D49" s="20">
        <f>340/910*B70</f>
        <v>1494.5054945054944</v>
      </c>
      <c r="E49" s="20">
        <f>B70*70/910</f>
        <v>307.69230769230768</v>
      </c>
      <c r="F49" s="20">
        <f>B70*70/910</f>
        <v>307.69230769230768</v>
      </c>
      <c r="G49" s="20"/>
      <c r="H49" s="20">
        <f>B70*50/910</f>
        <v>219.78021978021977</v>
      </c>
      <c r="I49" s="20">
        <f>30/910*B70</f>
        <v>131.86813186813188</v>
      </c>
      <c r="J49" s="20">
        <f>80/910*B70</f>
        <v>351.64835164835165</v>
      </c>
      <c r="K49" s="20">
        <f>50/910*B70</f>
        <v>219.78021978021977</v>
      </c>
      <c r="L49" s="20">
        <f>50/910*B70</f>
        <v>219.78021978021977</v>
      </c>
      <c r="M49" s="20">
        <f>50/910*B70</f>
        <v>219.78021978021977</v>
      </c>
      <c r="N49" s="20">
        <f>70/910*B70</f>
        <v>307.69230769230774</v>
      </c>
      <c r="O49" s="20">
        <f>50/910*B70</f>
        <v>219.78021978021977</v>
      </c>
    </row>
    <row r="50" spans="1:15" x14ac:dyDescent="0.2">
      <c r="A50" s="28" t="s">
        <v>109</v>
      </c>
      <c r="B50" s="20">
        <f t="shared" si="0"/>
        <v>14400</v>
      </c>
      <c r="C50" s="20"/>
      <c r="D50" s="20"/>
      <c r="E50" s="20"/>
      <c r="F50" s="20"/>
      <c r="G50" s="20">
        <f>150/640*B71</f>
        <v>3375</v>
      </c>
      <c r="H50" s="20">
        <f>130/640*B71</f>
        <v>2925</v>
      </c>
      <c r="I50" s="20"/>
      <c r="J50" s="20"/>
      <c r="K50" s="20">
        <f>360/640*B71</f>
        <v>8100</v>
      </c>
      <c r="L50" s="20"/>
      <c r="M50" s="20"/>
      <c r="N50" s="20"/>
      <c r="O50" s="20"/>
    </row>
    <row r="51" spans="1:15" x14ac:dyDescent="0.2">
      <c r="A51" s="28" t="s">
        <v>110</v>
      </c>
      <c r="B51" s="20">
        <f t="shared" si="0"/>
        <v>42999.999999999993</v>
      </c>
      <c r="C51" s="20"/>
      <c r="D51" s="20">
        <f>822/1820*B72</f>
        <v>19420.879120879123</v>
      </c>
      <c r="E51" s="20">
        <f>B72*60/1820</f>
        <v>1417.5824175824175</v>
      </c>
      <c r="F51" s="20">
        <f>B72*48/1820</f>
        <v>1134.065934065934</v>
      </c>
      <c r="G51" s="20">
        <f>B72*70/1820</f>
        <v>1653.8461538461538</v>
      </c>
      <c r="H51" s="20">
        <f>B72*70/1820</f>
        <v>1653.8461538461538</v>
      </c>
      <c r="I51" s="20">
        <f>50/1820*B72</f>
        <v>1181.3186813186812</v>
      </c>
      <c r="J51" s="20">
        <f>100/1820*B72</f>
        <v>2362.6373626373625</v>
      </c>
      <c r="K51" s="20">
        <f>40/1820*B72</f>
        <v>945.05494505494516</v>
      </c>
      <c r="L51" s="20">
        <f>60/1820*B72</f>
        <v>1417.5824175824175</v>
      </c>
      <c r="M51" s="20">
        <f>250/1820*B72</f>
        <v>5906.5934065934071</v>
      </c>
      <c r="N51" s="20">
        <f>200/1820*B72</f>
        <v>4725.2747252747249</v>
      </c>
      <c r="O51" s="20">
        <f>50/1820*B72</f>
        <v>1181.3186813186812</v>
      </c>
    </row>
    <row r="52" spans="1:15" x14ac:dyDescent="0.2">
      <c r="A52" s="28" t="s">
        <v>179</v>
      </c>
      <c r="B52" s="20">
        <f t="shared" si="0"/>
        <v>38000</v>
      </c>
      <c r="C52" s="20"/>
      <c r="D52" s="20"/>
      <c r="E52" s="20"/>
      <c r="F52" s="20"/>
      <c r="G52" s="20"/>
      <c r="H52" s="20"/>
      <c r="I52" s="20">
        <v>8000</v>
      </c>
      <c r="J52" s="20">
        <v>30000</v>
      </c>
      <c r="K52" s="20"/>
      <c r="L52" s="20"/>
      <c r="M52" s="20"/>
      <c r="N52" s="20"/>
      <c r="O52" s="20"/>
    </row>
    <row r="53" spans="1:15" x14ac:dyDescent="0.2">
      <c r="A53" s="28" t="s">
        <v>181</v>
      </c>
      <c r="B53" s="20">
        <f t="shared" si="0"/>
        <v>0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x14ac:dyDescent="0.2">
      <c r="A54" s="28" t="s">
        <v>180</v>
      </c>
      <c r="B54" s="20">
        <f t="shared" si="0"/>
        <v>3000</v>
      </c>
      <c r="C54" s="20">
        <v>3000</v>
      </c>
      <c r="D54" s="20">
        <v>3000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5" x14ac:dyDescent="0.2">
      <c r="A55" s="28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ht="15" x14ac:dyDescent="0.25">
      <c r="A56" s="27" t="s">
        <v>164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x14ac:dyDescent="0.2">
      <c r="A57" s="28" t="s">
        <v>165</v>
      </c>
      <c r="B57" s="20">
        <f t="shared" si="0"/>
        <v>300</v>
      </c>
      <c r="C57" s="20">
        <v>300</v>
      </c>
      <c r="D57" s="20">
        <f>C57*'Temps travail et prorata 2015'!$L$6</f>
        <v>73.32352941176471</v>
      </c>
      <c r="E57" s="20">
        <f>C57*'Temps travail et prorata 2015'!$L$18</f>
        <v>60.705882352941181</v>
      </c>
      <c r="F57" s="20">
        <f>C57*'Temps travail et prorata 2015'!$L$26</f>
        <v>8.8235294117647065</v>
      </c>
      <c r="G57" s="20">
        <f>C57*'Temps travail et prorata 2015'!$L$46</f>
        <v>15.220588235294118</v>
      </c>
      <c r="H57" s="20">
        <f>C57*'Temps travail et prorata 2015'!$L$35</f>
        <v>15.441176470588234</v>
      </c>
      <c r="I57" s="20">
        <f>C57*'Temps travail et prorata 2015'!$L$56</f>
        <v>6.3970588235294121</v>
      </c>
      <c r="J57" s="20">
        <f>C57*'Temps travail et prorata 2015'!$L$64</f>
        <v>17.867647058823529</v>
      </c>
      <c r="K57" s="20">
        <f>C57*'Temps travail et prorata 2015'!$L$71</f>
        <v>47.42647058823529</v>
      </c>
      <c r="L57" s="20">
        <f>C57*'Temps travail et prorata 2015'!$L$81</f>
        <v>11.029411764705882</v>
      </c>
      <c r="M57" s="20">
        <f>C57*'Temps travail et prorata 2015'!$L$88</f>
        <v>15.661764705882353</v>
      </c>
      <c r="N57" s="20">
        <f>C57*'Temps travail et prorata 2015'!$L$95</f>
        <v>11.117647058823529</v>
      </c>
      <c r="O57" s="20">
        <f>C57*'Temps travail et prorata 2015'!$L$103</f>
        <v>16.985294117647058</v>
      </c>
    </row>
    <row r="58" spans="1:15" x14ac:dyDescent="0.2">
      <c r="A58" s="28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ht="15" x14ac:dyDescent="0.25">
      <c r="A59" s="27" t="s">
        <v>103</v>
      </c>
      <c r="B59" s="20">
        <f t="shared" si="0"/>
        <v>58700</v>
      </c>
      <c r="C59" s="20">
        <v>58700</v>
      </c>
      <c r="D59" s="20">
        <f>C59*'Temps travail et prorata 2015'!$L$6</f>
        <v>14346.970588235294</v>
      </c>
      <c r="E59" s="20">
        <f>C59*'Temps travail et prorata 2015'!$L$18</f>
        <v>11878.117647058823</v>
      </c>
      <c r="F59" s="20">
        <f>C59*'Temps travail et prorata 2015'!$L$26</f>
        <v>1726.4705882352941</v>
      </c>
      <c r="G59" s="20">
        <f>C59*'Temps travail et prorata 2015'!$L$46</f>
        <v>2978.1617647058824</v>
      </c>
      <c r="H59" s="20">
        <f>C59*'Temps travail et prorata 2015'!$L$35</f>
        <v>3021.3235294117644</v>
      </c>
      <c r="I59" s="20">
        <f>C59*'Temps travail et prorata 2015'!$L$56</f>
        <v>1251.6911764705883</v>
      </c>
      <c r="J59" s="20">
        <f>C59*'Temps travail et prorata 2015'!$L$64</f>
        <v>3496.1029411764703</v>
      </c>
      <c r="K59" s="20">
        <f>C59*'Temps travail et prorata 2015'!$L$71</f>
        <v>9279.7794117647063</v>
      </c>
      <c r="L59" s="20">
        <f>C59*'Temps travail et prorata 2015'!$L$81</f>
        <v>2158.0882352941176</v>
      </c>
      <c r="M59" s="20">
        <f>C59*'Temps travail et prorata 2015'!$L$88</f>
        <v>3064.4852941176473</v>
      </c>
      <c r="N59" s="20">
        <f>C59*'Temps travail et prorata 2015'!$L$95</f>
        <v>2175.3529411764703</v>
      </c>
      <c r="O59" s="20">
        <f>C59*'Temps travail et prorata 2015'!$L$103</f>
        <v>3323.455882352941</v>
      </c>
    </row>
    <row r="60" spans="1:15" ht="15" x14ac:dyDescent="0.25">
      <c r="A60" s="27" t="s">
        <v>104</v>
      </c>
      <c r="B60" s="20">
        <f>SUM(D60:O60)</f>
        <v>8000</v>
      </c>
      <c r="C60" s="20">
        <v>8000</v>
      </c>
      <c r="D60" s="20">
        <f>C60*'Temps travail et prorata 2015'!$L$6</f>
        <v>1955.2941176470588</v>
      </c>
      <c r="E60" s="20">
        <f>C60*'Temps travail et prorata 2015'!$L$18</f>
        <v>1618.8235294117649</v>
      </c>
      <c r="F60" s="20">
        <f>C60*'Temps travail et prorata 2015'!$L$26</f>
        <v>235.29411764705881</v>
      </c>
      <c r="G60" s="20">
        <f>C60*'Temps travail et prorata 2015'!$L$46</f>
        <v>405.88235294117646</v>
      </c>
      <c r="H60" s="20">
        <f>C60*'Temps travail et prorata 2015'!$L$35</f>
        <v>411.76470588235293</v>
      </c>
      <c r="I60" s="20">
        <f>C60*'Temps travail et prorata 2015'!$L$56</f>
        <v>170.58823529411765</v>
      </c>
      <c r="J60" s="20">
        <f>C60*'Temps travail et prorata 2015'!$L$64</f>
        <v>476.47058823529409</v>
      </c>
      <c r="K60" s="20">
        <f>C60*'Temps travail et prorata 2015'!$L$71</f>
        <v>1264.7058823529412</v>
      </c>
      <c r="L60" s="20">
        <f>C60*'Temps travail et prorata 2015'!$L$81</f>
        <v>294.11764705882354</v>
      </c>
      <c r="M60" s="20">
        <f>C60*'Temps travail et prorata 2015'!$L$88</f>
        <v>417.64705882352945</v>
      </c>
      <c r="N60" s="20">
        <f>C60*'Temps travail et prorata 2015'!$L$95</f>
        <v>296.47058823529409</v>
      </c>
      <c r="O60" s="20">
        <f>C60*'Temps travail et prorata 2015'!$L$103</f>
        <v>452.94117647058823</v>
      </c>
    </row>
    <row r="61" spans="1:15" x14ac:dyDescent="0.2">
      <c r="A61" s="28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ht="15" x14ac:dyDescent="0.25">
      <c r="A62" s="27" t="s">
        <v>113</v>
      </c>
      <c r="B62" s="20">
        <f t="shared" si="0"/>
        <v>0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ht="15" x14ac:dyDescent="0.25">
      <c r="A63" s="31" t="s">
        <v>166</v>
      </c>
      <c r="B63" s="21">
        <f>SUM(B5:B62)</f>
        <v>416335</v>
      </c>
      <c r="C63" s="21">
        <f>SUM(C5:C62)</f>
        <v>152885</v>
      </c>
      <c r="D63" s="21">
        <f>SUM(D5:D62)</f>
        <v>99844.646363930209</v>
      </c>
      <c r="E63" s="21">
        <f t="shared" ref="E63:N63" si="1">SUM(E5:E62)</f>
        <v>42950.549709114413</v>
      </c>
      <c r="F63" s="21">
        <f>SUM(F5:F62)</f>
        <v>11299.591144149968</v>
      </c>
      <c r="G63" s="21">
        <f>SUM(G5:G62)</f>
        <v>22922.728789592755</v>
      </c>
      <c r="H63" s="21">
        <f t="shared" si="1"/>
        <v>22363.982304460242</v>
      </c>
      <c r="I63" s="21">
        <f t="shared" si="1"/>
        <v>20979.044238849383</v>
      </c>
      <c r="J63" s="21">
        <f t="shared" si="1"/>
        <v>55274.501737233353</v>
      </c>
      <c r="K63" s="21">
        <f t="shared" si="1"/>
        <v>77105.769432773101</v>
      </c>
      <c r="L63" s="21">
        <f t="shared" si="1"/>
        <v>14340.148270846801</v>
      </c>
      <c r="M63" s="21">
        <f t="shared" si="1"/>
        <v>19758.94461053652</v>
      </c>
      <c r="N63" s="21">
        <f t="shared" si="1"/>
        <v>15231.484841628957</v>
      </c>
      <c r="O63" s="21">
        <f>SUM(O5:O62)</f>
        <v>14263.60855688429</v>
      </c>
    </row>
    <row r="65" spans="1:3" x14ac:dyDescent="0.2">
      <c r="A65" s="42" t="s">
        <v>163</v>
      </c>
      <c r="B65" s="20">
        <v>43000</v>
      </c>
      <c r="C65" s="26"/>
    </row>
    <row r="66" spans="1:3" x14ac:dyDescent="0.2">
      <c r="A66" s="20" t="s">
        <v>108</v>
      </c>
      <c r="B66" s="20">
        <v>43000</v>
      </c>
      <c r="C66" s="26"/>
    </row>
    <row r="67" spans="1:3" x14ac:dyDescent="0.2">
      <c r="A67" s="20" t="s">
        <v>106</v>
      </c>
      <c r="B67" s="20">
        <v>20000</v>
      </c>
      <c r="C67" s="26"/>
    </row>
    <row r="68" spans="1:3" x14ac:dyDescent="0.2">
      <c r="A68" s="20" t="s">
        <v>186</v>
      </c>
      <c r="B68" s="20">
        <v>14400</v>
      </c>
      <c r="C68" s="26"/>
    </row>
    <row r="69" spans="1:3" x14ac:dyDescent="0.2">
      <c r="A69" s="28" t="s">
        <v>42</v>
      </c>
      <c r="B69" s="20">
        <v>14400</v>
      </c>
      <c r="C69" s="26"/>
    </row>
    <row r="70" spans="1:3" x14ac:dyDescent="0.2">
      <c r="A70" s="20" t="s">
        <v>41</v>
      </c>
      <c r="B70" s="20">
        <v>4000</v>
      </c>
      <c r="C70" s="26"/>
    </row>
    <row r="71" spans="1:3" x14ac:dyDescent="0.2">
      <c r="A71" s="20" t="s">
        <v>109</v>
      </c>
      <c r="B71" s="20">
        <v>14400</v>
      </c>
      <c r="C71" s="26"/>
    </row>
    <row r="72" spans="1:3" x14ac:dyDescent="0.2">
      <c r="A72" s="20" t="s">
        <v>110</v>
      </c>
      <c r="B72" s="20">
        <v>43000</v>
      </c>
      <c r="C72" s="26"/>
    </row>
  </sheetData>
  <mergeCells count="8">
    <mergeCell ref="L1:O1"/>
    <mergeCell ref="C1:C2"/>
    <mergeCell ref="A1:A2"/>
    <mergeCell ref="E1:H1"/>
    <mergeCell ref="I1:J1"/>
    <mergeCell ref="K1"/>
    <mergeCell ref="D1:D2"/>
    <mergeCell ref="B1:B2"/>
  </mergeCells>
  <phoneticPr fontId="2" type="noConversion"/>
  <printOptions horizontalCentered="1"/>
  <pageMargins left="0.59055118110236227" right="0.59055118110236227" top="0.78740157480314965" bottom="0.78740157480314965" header="0.39370078740157483" footer="0.19685039370078741"/>
  <pageSetup paperSize="10" scale="43" orientation="landscape" horizontalDpi="4294967292" verticalDpi="4294967292" r:id="rId1"/>
  <headerFooter>
    <oddHeader>&amp;C&amp;"Trebuchet MS,Gras"&amp;12FRUCTÔSE - Budget prévisionnel 2015</oddHeader>
    <oddFooter xml:space="preserve">&amp;L&amp;"Trebuchet MS,Normal"© Culture d'Entreprise | ExtraCité | 26.05.2014&amp;R&amp;"Trebuchet MS,Gras"&amp;F | &amp;A
</oddFooter>
  </headerFooter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"/>
  <sheetViews>
    <sheetView showRuler="0" view="pageLayout" workbookViewId="0">
      <selection activeCell="E15" sqref="E15"/>
    </sheetView>
  </sheetViews>
  <sheetFormatPr baseColWidth="10" defaultRowHeight="12.75" x14ac:dyDescent="0.2"/>
  <cols>
    <col min="1" max="1" width="22.7109375" customWidth="1"/>
    <col min="2" max="2" width="15.7109375" style="37" customWidth="1"/>
    <col min="3" max="3" width="15.7109375" customWidth="1"/>
    <col min="4" max="4" width="15.7109375" style="37" customWidth="1"/>
  </cols>
  <sheetData>
    <row r="1" spans="1:4" s="39" customFormat="1" ht="38.25" x14ac:dyDescent="0.2">
      <c r="B1" s="40" t="s">
        <v>101</v>
      </c>
      <c r="C1" s="39" t="s">
        <v>100</v>
      </c>
      <c r="D1" s="40" t="s">
        <v>102</v>
      </c>
    </row>
    <row r="2" spans="1:4" x14ac:dyDescent="0.2">
      <c r="A2" s="38" t="s">
        <v>98</v>
      </c>
      <c r="B2" s="37">
        <v>880000</v>
      </c>
      <c r="C2">
        <v>15</v>
      </c>
      <c r="D2" s="37">
        <f>B2/C2</f>
        <v>58666.666666666664</v>
      </c>
    </row>
    <row r="3" spans="1:4" x14ac:dyDescent="0.2">
      <c r="A3" s="38" t="s">
        <v>99</v>
      </c>
      <c r="B3" s="37">
        <v>80000</v>
      </c>
      <c r="C3">
        <v>10</v>
      </c>
      <c r="D3" s="37">
        <f>B3/C3</f>
        <v>8000</v>
      </c>
    </row>
  </sheetData>
  <phoneticPr fontId="2" type="noConversion"/>
  <printOptions horizontalCentered="1"/>
  <pageMargins left="0.59055118110236227" right="0.59055118110236227" top="0.78740157480314965" bottom="0.78740157480314965" header="0.39370078740157483" footer="0.19685039370078741"/>
  <pageSetup paperSize="10" orientation="landscape" horizontalDpi="4294967292" verticalDpi="4294967292" r:id="rId1"/>
  <headerFooter>
    <oddHeader>&amp;C&amp;"Trebuchet MS,Gras"&amp;12FRUCTÔSE - Budget prévisionnel 2015</oddHeader>
    <oddFooter xml:space="preserve">&amp;L&amp;"Trebuchet MS,Normal"© Culture d'Entreprise | ExtraCité | 26.05.2014&amp;R&amp;"Trebuchet MS,Gras"&amp;F | &amp;A
</oddFooter>
  </headerFooter>
  <extLst>
    <ext xmlns:mx="http://schemas.microsoft.com/office/mac/excel/2008/main" uri="http://schemas.microsoft.com/office/mac/excel/2008/main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topLeftCell="E73" zoomScaleNormal="100" workbookViewId="0">
      <selection activeCell="S97" sqref="S97"/>
    </sheetView>
  </sheetViews>
  <sheetFormatPr baseColWidth="10" defaultRowHeight="12.75" x14ac:dyDescent="0.2"/>
  <cols>
    <col min="12" max="12" width="10.85546875" style="79"/>
  </cols>
  <sheetData>
    <row r="1" spans="1:12" ht="56.25" x14ac:dyDescent="0.2">
      <c r="A1" s="44"/>
      <c r="B1" s="45" t="s">
        <v>51</v>
      </c>
      <c r="C1" s="45" t="s">
        <v>52</v>
      </c>
      <c r="D1" s="45" t="s">
        <v>53</v>
      </c>
      <c r="E1" s="45" t="s">
        <v>54</v>
      </c>
      <c r="F1" s="45" t="s">
        <v>55</v>
      </c>
      <c r="G1" s="45" t="s">
        <v>56</v>
      </c>
      <c r="H1" s="45" t="s">
        <v>57</v>
      </c>
      <c r="I1" s="45" t="s">
        <v>58</v>
      </c>
      <c r="J1" s="45" t="s">
        <v>59</v>
      </c>
      <c r="K1" s="45" t="s">
        <v>60</v>
      </c>
      <c r="L1" s="78" t="s">
        <v>36</v>
      </c>
    </row>
    <row r="2" spans="1:12" ht="33.75" x14ac:dyDescent="0.2">
      <c r="A2" s="46" t="s">
        <v>61</v>
      </c>
      <c r="B2" s="47">
        <v>1820</v>
      </c>
      <c r="C2" s="47">
        <f>C6+C15</f>
        <v>1820</v>
      </c>
      <c r="D2" s="47">
        <v>640</v>
      </c>
      <c r="E2" s="47">
        <f t="shared" ref="E2:J2" si="0">E6+E15</f>
        <v>910</v>
      </c>
      <c r="F2" s="47">
        <f t="shared" si="0"/>
        <v>640</v>
      </c>
      <c r="G2" s="47">
        <f t="shared" si="0"/>
        <v>1820</v>
      </c>
      <c r="H2" s="47">
        <f t="shared" si="0"/>
        <v>1820</v>
      </c>
      <c r="I2" s="47">
        <f t="shared" si="0"/>
        <v>640</v>
      </c>
      <c r="J2" s="47">
        <f t="shared" si="0"/>
        <v>3490</v>
      </c>
      <c r="K2" s="47">
        <f>SUM(B2:J2)</f>
        <v>13600</v>
      </c>
    </row>
    <row r="3" spans="1:12" x14ac:dyDescent="0.2">
      <c r="A3" s="48" t="s">
        <v>62</v>
      </c>
      <c r="B3" s="49">
        <v>23.6</v>
      </c>
      <c r="C3" s="49">
        <v>23.6</v>
      </c>
      <c r="D3" s="49">
        <v>22.5</v>
      </c>
      <c r="E3" s="49">
        <v>4.3</v>
      </c>
      <c r="F3" s="49">
        <v>22.5</v>
      </c>
      <c r="G3" s="49">
        <v>23.6</v>
      </c>
      <c r="H3" s="49">
        <v>4.3</v>
      </c>
      <c r="I3" s="49">
        <v>22.5</v>
      </c>
      <c r="J3" s="50" t="s">
        <v>63</v>
      </c>
      <c r="K3" s="50"/>
    </row>
    <row r="4" spans="1:12" x14ac:dyDescent="0.2">
      <c r="A4" s="51" t="s">
        <v>64</v>
      </c>
      <c r="B4" s="52">
        <f>B2*B3</f>
        <v>42952</v>
      </c>
      <c r="C4" s="52">
        <f t="shared" ref="C4:I4" si="1">C2*C3</f>
        <v>42952</v>
      </c>
      <c r="D4" s="52">
        <f t="shared" si="1"/>
        <v>14400</v>
      </c>
      <c r="E4" s="52">
        <f t="shared" si="1"/>
        <v>3913</v>
      </c>
      <c r="F4" s="52">
        <f t="shared" si="1"/>
        <v>14400</v>
      </c>
      <c r="G4" s="52">
        <f t="shared" si="1"/>
        <v>42952</v>
      </c>
      <c r="H4" s="52">
        <f t="shared" si="1"/>
        <v>7826</v>
      </c>
      <c r="I4" s="52">
        <f t="shared" si="1"/>
        <v>14400</v>
      </c>
      <c r="J4" s="52" t="s">
        <v>63</v>
      </c>
      <c r="K4" s="52">
        <f>SUM(B4:J4)</f>
        <v>183795</v>
      </c>
    </row>
    <row r="5" spans="1:12" x14ac:dyDescent="0.2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2" ht="33.75" x14ac:dyDescent="0.2">
      <c r="A6" s="55" t="s">
        <v>65</v>
      </c>
      <c r="B6" s="56">
        <f>SUM(B8:B13)</f>
        <v>618</v>
      </c>
      <c r="C6" s="56">
        <f t="shared" ref="C6:J6" si="2">SUM(C8:C13)</f>
        <v>822</v>
      </c>
      <c r="D6" s="56">
        <f t="shared" si="2"/>
        <v>0</v>
      </c>
      <c r="E6" s="56">
        <f t="shared" si="2"/>
        <v>340</v>
      </c>
      <c r="F6" s="56">
        <f t="shared" si="2"/>
        <v>0</v>
      </c>
      <c r="G6" s="56">
        <f t="shared" si="2"/>
        <v>888</v>
      </c>
      <c r="H6" s="56">
        <f t="shared" si="2"/>
        <v>338</v>
      </c>
      <c r="I6" s="56">
        <f t="shared" si="2"/>
        <v>0</v>
      </c>
      <c r="J6" s="56">
        <f t="shared" si="2"/>
        <v>318</v>
      </c>
      <c r="K6" s="56">
        <f>SUM(B6:J6)</f>
        <v>3324</v>
      </c>
      <c r="L6" s="80">
        <f>K6/K2</f>
        <v>0.24441176470588236</v>
      </c>
    </row>
    <row r="7" spans="1:12" x14ac:dyDescent="0.2">
      <c r="A7" s="51" t="s">
        <v>64</v>
      </c>
      <c r="B7" s="52">
        <f>B6*B$3</f>
        <v>14584.800000000001</v>
      </c>
      <c r="C7" s="52">
        <f t="shared" ref="C7:I7" si="3">C6*C$3</f>
        <v>19399.2</v>
      </c>
      <c r="D7" s="52">
        <f t="shared" si="3"/>
        <v>0</v>
      </c>
      <c r="E7" s="52">
        <f t="shared" si="3"/>
        <v>1462</v>
      </c>
      <c r="F7" s="52">
        <f t="shared" si="3"/>
        <v>0</v>
      </c>
      <c r="G7" s="52">
        <f t="shared" si="3"/>
        <v>20956.800000000003</v>
      </c>
      <c r="H7" s="52">
        <f t="shared" si="3"/>
        <v>1453.3999999999999</v>
      </c>
      <c r="I7" s="52">
        <f t="shared" si="3"/>
        <v>0</v>
      </c>
      <c r="J7" s="52" t="s">
        <v>63</v>
      </c>
      <c r="K7" s="52">
        <f>SUM(B7:J7)</f>
        <v>57856.200000000004</v>
      </c>
    </row>
    <row r="8" spans="1:12" ht="22.5" x14ac:dyDescent="0.2">
      <c r="A8" s="57" t="s">
        <v>66</v>
      </c>
      <c r="B8" s="58">
        <v>350</v>
      </c>
      <c r="C8" s="58"/>
      <c r="D8" s="58"/>
      <c r="E8" s="58"/>
      <c r="F8" s="58"/>
      <c r="G8" s="58"/>
      <c r="H8" s="58"/>
      <c r="I8" s="58"/>
      <c r="J8" s="58"/>
      <c r="K8" s="58"/>
    </row>
    <row r="9" spans="1:12" ht="22.5" x14ac:dyDescent="0.2">
      <c r="A9" s="57" t="s">
        <v>67</v>
      </c>
      <c r="B9" s="58">
        <v>168</v>
      </c>
      <c r="C9" s="58">
        <v>400</v>
      </c>
      <c r="D9" s="58"/>
      <c r="E9" s="58"/>
      <c r="F9" s="58"/>
      <c r="G9" s="58"/>
      <c r="H9" s="58"/>
      <c r="I9" s="58"/>
      <c r="J9" s="58">
        <v>150</v>
      </c>
      <c r="K9" s="58"/>
    </row>
    <row r="10" spans="1:12" x14ac:dyDescent="0.2">
      <c r="A10" s="57" t="s">
        <v>68</v>
      </c>
      <c r="B10" s="58"/>
      <c r="C10" s="58">
        <v>300</v>
      </c>
      <c r="D10" s="58"/>
      <c r="E10" s="58"/>
      <c r="F10" s="58"/>
      <c r="G10" s="58"/>
      <c r="H10" s="58"/>
      <c r="I10" s="58"/>
      <c r="J10" s="58"/>
      <c r="K10" s="58"/>
    </row>
    <row r="11" spans="1:12" x14ac:dyDescent="0.2">
      <c r="A11" s="57" t="s">
        <v>69</v>
      </c>
      <c r="B11" s="58">
        <v>50</v>
      </c>
      <c r="C11" s="58"/>
      <c r="D11" s="58"/>
      <c r="E11" s="58">
        <v>340</v>
      </c>
      <c r="F11" s="58"/>
      <c r="G11" s="58"/>
      <c r="H11" s="58"/>
      <c r="I11" s="58"/>
      <c r="J11" s="58"/>
      <c r="K11" s="58"/>
    </row>
    <row r="12" spans="1:12" x14ac:dyDescent="0.2">
      <c r="A12" s="57" t="s">
        <v>70</v>
      </c>
      <c r="B12" s="58"/>
      <c r="C12" s="58"/>
      <c r="D12" s="58"/>
      <c r="E12" s="58"/>
      <c r="F12" s="58"/>
      <c r="G12" s="58">
        <v>888</v>
      </c>
      <c r="H12" s="58">
        <v>338</v>
      </c>
      <c r="I12" s="58"/>
      <c r="J12" s="58">
        <v>168</v>
      </c>
      <c r="K12" s="58"/>
    </row>
    <row r="13" spans="1:12" ht="22.5" x14ac:dyDescent="0.2">
      <c r="A13" s="57" t="s">
        <v>71</v>
      </c>
      <c r="B13" s="58">
        <v>50</v>
      </c>
      <c r="C13" s="58">
        <v>122</v>
      </c>
      <c r="D13" s="58"/>
      <c r="E13" s="58"/>
      <c r="F13" s="58"/>
      <c r="G13" s="58"/>
      <c r="H13" s="58"/>
      <c r="I13" s="58"/>
      <c r="J13" s="58"/>
      <c r="K13" s="58"/>
    </row>
    <row r="14" spans="1:12" x14ac:dyDescent="0.2">
      <c r="A14" s="59"/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2" ht="22.5" x14ac:dyDescent="0.2">
      <c r="A15" s="61" t="s">
        <v>72</v>
      </c>
      <c r="B15" s="62">
        <f t="shared" ref="B15:J15" si="4">B18+B26+B35+B46+B56+B64+B71+B81+B88+B95+B103</f>
        <v>1202</v>
      </c>
      <c r="C15" s="62">
        <f t="shared" si="4"/>
        <v>998</v>
      </c>
      <c r="D15" s="62">
        <f t="shared" si="4"/>
        <v>640</v>
      </c>
      <c r="E15" s="62">
        <f t="shared" si="4"/>
        <v>570</v>
      </c>
      <c r="F15" s="62">
        <f t="shared" si="4"/>
        <v>640</v>
      </c>
      <c r="G15" s="62">
        <f t="shared" si="4"/>
        <v>932</v>
      </c>
      <c r="H15" s="62">
        <f t="shared" si="4"/>
        <v>1482</v>
      </c>
      <c r="I15" s="62">
        <f t="shared" si="4"/>
        <v>640</v>
      </c>
      <c r="J15" s="62">
        <f t="shared" si="4"/>
        <v>3172</v>
      </c>
      <c r="K15" s="62">
        <f>SUM(B15:J15)</f>
        <v>10276</v>
      </c>
    </row>
    <row r="16" spans="1:12" x14ac:dyDescent="0.2">
      <c r="A16" s="51" t="s">
        <v>64</v>
      </c>
      <c r="B16" s="52">
        <f>B15*B$3</f>
        <v>28367.200000000001</v>
      </c>
      <c r="C16" s="52">
        <f t="shared" ref="C16:I16" si="5">C15*C$3</f>
        <v>23552.800000000003</v>
      </c>
      <c r="D16" s="52">
        <f t="shared" si="5"/>
        <v>14400</v>
      </c>
      <c r="E16" s="52">
        <f t="shared" si="5"/>
        <v>2451</v>
      </c>
      <c r="F16" s="52">
        <f t="shared" si="5"/>
        <v>14400</v>
      </c>
      <c r="G16" s="52">
        <f t="shared" si="5"/>
        <v>21995.200000000001</v>
      </c>
      <c r="H16" s="52">
        <f t="shared" si="5"/>
        <v>6372.5999999999995</v>
      </c>
      <c r="I16" s="52">
        <f t="shared" si="5"/>
        <v>14400</v>
      </c>
      <c r="J16" s="52" t="s">
        <v>63</v>
      </c>
      <c r="K16" s="52">
        <f>SUM(B16:J16)</f>
        <v>125938.8</v>
      </c>
    </row>
    <row r="17" spans="1:12" x14ac:dyDescent="0.2">
      <c r="A17" s="53"/>
      <c r="B17" s="54"/>
      <c r="C17" s="54"/>
      <c r="D17" s="54"/>
      <c r="E17" s="54"/>
      <c r="F17" s="54"/>
      <c r="G17" s="54"/>
      <c r="H17" s="54"/>
      <c r="I17" s="54"/>
      <c r="J17" s="54"/>
      <c r="K17" s="54"/>
    </row>
    <row r="18" spans="1:12" ht="22.5" x14ac:dyDescent="0.2">
      <c r="A18" s="63" t="s">
        <v>73</v>
      </c>
      <c r="B18" s="64">
        <f t="shared" ref="B18:J18" si="6">SUM(B20:B24)</f>
        <v>210</v>
      </c>
      <c r="C18" s="64">
        <f t="shared" si="6"/>
        <v>60</v>
      </c>
      <c r="D18" s="64">
        <f t="shared" si="6"/>
        <v>0</v>
      </c>
      <c r="E18" s="64">
        <f t="shared" si="6"/>
        <v>70</v>
      </c>
      <c r="F18" s="64">
        <f t="shared" si="6"/>
        <v>0</v>
      </c>
      <c r="G18" s="64">
        <f t="shared" si="6"/>
        <v>0</v>
      </c>
      <c r="H18" s="64">
        <f t="shared" si="6"/>
        <v>540</v>
      </c>
      <c r="I18" s="64">
        <f t="shared" si="6"/>
        <v>0</v>
      </c>
      <c r="J18" s="64">
        <f t="shared" si="6"/>
        <v>1872</v>
      </c>
      <c r="K18" s="64">
        <f>SUM(B18:J18)</f>
        <v>2752</v>
      </c>
      <c r="L18" s="79">
        <f>K18/K2</f>
        <v>0.2023529411764706</v>
      </c>
    </row>
    <row r="19" spans="1:12" x14ac:dyDescent="0.2">
      <c r="A19" s="51" t="s">
        <v>64</v>
      </c>
      <c r="B19" s="52">
        <f>B18*B$3</f>
        <v>4956</v>
      </c>
      <c r="C19" s="52">
        <f t="shared" ref="C19:I19" si="7">C18*C$3</f>
        <v>1416</v>
      </c>
      <c r="D19" s="52">
        <f t="shared" si="7"/>
        <v>0</v>
      </c>
      <c r="E19" s="52">
        <f t="shared" si="7"/>
        <v>301</v>
      </c>
      <c r="F19" s="52">
        <f t="shared" si="7"/>
        <v>0</v>
      </c>
      <c r="G19" s="52">
        <f t="shared" si="7"/>
        <v>0</v>
      </c>
      <c r="H19" s="52">
        <f t="shared" si="7"/>
        <v>2322</v>
      </c>
      <c r="I19" s="52">
        <f t="shared" si="7"/>
        <v>0</v>
      </c>
      <c r="J19" s="52" t="s">
        <v>63</v>
      </c>
      <c r="K19" s="52">
        <f>SUM(B19:J19)</f>
        <v>8995</v>
      </c>
    </row>
    <row r="20" spans="1:12" ht="22.5" x14ac:dyDescent="0.2">
      <c r="A20" s="65" t="s">
        <v>74</v>
      </c>
      <c r="B20" s="66">
        <v>30</v>
      </c>
      <c r="C20" s="66">
        <v>60</v>
      </c>
      <c r="D20" s="66"/>
      <c r="E20" s="66"/>
      <c r="F20" s="66"/>
      <c r="G20" s="66"/>
      <c r="H20" s="66"/>
      <c r="I20" s="66"/>
      <c r="J20" s="66">
        <v>72</v>
      </c>
      <c r="K20" s="66"/>
    </row>
    <row r="21" spans="1:12" ht="22.5" x14ac:dyDescent="0.2">
      <c r="A21" s="65" t="s">
        <v>75</v>
      </c>
      <c r="B21" s="66">
        <v>180</v>
      </c>
      <c r="C21" s="66"/>
      <c r="D21" s="66"/>
      <c r="E21" s="66"/>
      <c r="F21" s="66"/>
      <c r="G21" s="66"/>
      <c r="H21" s="66"/>
      <c r="I21" s="66"/>
      <c r="J21" s="66"/>
      <c r="K21" s="66"/>
    </row>
    <row r="22" spans="1:12" x14ac:dyDescent="0.2">
      <c r="A22" s="65" t="s">
        <v>76</v>
      </c>
      <c r="B22" s="66"/>
      <c r="C22" s="66"/>
      <c r="D22" s="66"/>
      <c r="E22" s="66"/>
      <c r="F22" s="66"/>
      <c r="G22" s="66"/>
      <c r="H22" s="66">
        <v>540</v>
      </c>
      <c r="I22" s="66"/>
      <c r="J22" s="66">
        <v>1800</v>
      </c>
      <c r="K22" s="66"/>
    </row>
    <row r="23" spans="1:12" ht="22.5" x14ac:dyDescent="0.2">
      <c r="A23" s="65" t="s">
        <v>77</v>
      </c>
      <c r="B23" s="66"/>
      <c r="C23" s="66"/>
      <c r="D23" s="66"/>
      <c r="E23" s="66">
        <v>30</v>
      </c>
      <c r="F23" s="66"/>
      <c r="G23" s="66"/>
      <c r="H23" s="66"/>
      <c r="I23" s="66"/>
      <c r="J23" s="66"/>
      <c r="K23" s="66"/>
    </row>
    <row r="24" spans="1:12" ht="33.75" x14ac:dyDescent="0.2">
      <c r="A24" s="65" t="s">
        <v>78</v>
      </c>
      <c r="B24" s="66"/>
      <c r="C24" s="66"/>
      <c r="D24" s="66"/>
      <c r="E24" s="66">
        <v>40</v>
      </c>
      <c r="F24" s="66"/>
      <c r="G24" s="66"/>
      <c r="H24" s="66"/>
      <c r="I24" s="66"/>
      <c r="J24" s="66"/>
      <c r="K24" s="66"/>
    </row>
    <row r="25" spans="1:12" x14ac:dyDescent="0.2">
      <c r="A25" s="59"/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1:12" ht="22.5" x14ac:dyDescent="0.2">
      <c r="A26" s="55" t="s">
        <v>79</v>
      </c>
      <c r="B26" s="56">
        <f>SUM(B28:B33)</f>
        <v>90</v>
      </c>
      <c r="C26" s="56">
        <f t="shared" ref="C26:J26" si="8">SUM(C28:C33)</f>
        <v>48</v>
      </c>
      <c r="D26" s="56">
        <f t="shared" si="8"/>
        <v>0</v>
      </c>
      <c r="E26" s="56">
        <f t="shared" si="8"/>
        <v>70</v>
      </c>
      <c r="F26" s="56">
        <f t="shared" si="8"/>
        <v>0</v>
      </c>
      <c r="G26" s="56">
        <f t="shared" si="8"/>
        <v>96</v>
      </c>
      <c r="H26" s="56">
        <f t="shared" si="8"/>
        <v>96</v>
      </c>
      <c r="I26" s="56">
        <f t="shared" si="8"/>
        <v>0</v>
      </c>
      <c r="J26" s="56">
        <f t="shared" si="8"/>
        <v>0</v>
      </c>
      <c r="K26" s="56">
        <f>SUM(B26:J26)</f>
        <v>400</v>
      </c>
      <c r="L26" s="79">
        <f>K26/K2</f>
        <v>2.9411764705882353E-2</v>
      </c>
    </row>
    <row r="27" spans="1:12" x14ac:dyDescent="0.2">
      <c r="A27" s="51" t="s">
        <v>64</v>
      </c>
      <c r="B27" s="52">
        <f>B26*B$3</f>
        <v>2124</v>
      </c>
      <c r="C27" s="52">
        <f t="shared" ref="C27:I27" si="9">C26*C$3</f>
        <v>1132.8000000000002</v>
      </c>
      <c r="D27" s="52">
        <f t="shared" si="9"/>
        <v>0</v>
      </c>
      <c r="E27" s="52">
        <f t="shared" si="9"/>
        <v>301</v>
      </c>
      <c r="F27" s="52">
        <f t="shared" si="9"/>
        <v>0</v>
      </c>
      <c r="G27" s="52">
        <f t="shared" si="9"/>
        <v>2265.6000000000004</v>
      </c>
      <c r="H27" s="52">
        <f t="shared" si="9"/>
        <v>412.79999999999995</v>
      </c>
      <c r="I27" s="52">
        <f t="shared" si="9"/>
        <v>0</v>
      </c>
      <c r="J27" s="52" t="s">
        <v>63</v>
      </c>
      <c r="K27" s="52">
        <f>SUM(B27:J27)</f>
        <v>6236.2000000000007</v>
      </c>
    </row>
    <row r="28" spans="1:12" x14ac:dyDescent="0.2">
      <c r="A28" s="65" t="s">
        <v>80</v>
      </c>
      <c r="B28" s="66">
        <v>60</v>
      </c>
      <c r="C28" s="66"/>
      <c r="D28" s="66"/>
      <c r="E28" s="66"/>
      <c r="F28" s="66"/>
      <c r="G28" s="66"/>
      <c r="H28" s="66"/>
      <c r="I28" s="66"/>
      <c r="J28" s="66"/>
      <c r="K28" s="66"/>
    </row>
    <row r="29" spans="1:12" ht="22.5" x14ac:dyDescent="0.2">
      <c r="A29" s="65" t="s">
        <v>81</v>
      </c>
      <c r="B29" s="66">
        <v>30</v>
      </c>
      <c r="C29" s="66"/>
      <c r="D29" s="66"/>
      <c r="E29" s="66"/>
      <c r="F29" s="66"/>
      <c r="G29" s="66"/>
      <c r="H29" s="66"/>
      <c r="I29" s="66"/>
      <c r="J29" s="66"/>
      <c r="K29" s="66"/>
    </row>
    <row r="30" spans="1:12" x14ac:dyDescent="0.2">
      <c r="A30" s="65" t="s">
        <v>82</v>
      </c>
      <c r="B30" s="66"/>
      <c r="C30" s="66">
        <v>48</v>
      </c>
      <c r="D30" s="66"/>
      <c r="E30" s="66"/>
      <c r="F30" s="66"/>
      <c r="G30" s="66"/>
      <c r="H30" s="66"/>
      <c r="I30" s="66"/>
      <c r="J30" s="66"/>
      <c r="K30" s="66"/>
    </row>
    <row r="31" spans="1:12" ht="22.5" x14ac:dyDescent="0.2">
      <c r="A31" s="65" t="s">
        <v>83</v>
      </c>
      <c r="B31" s="66"/>
      <c r="C31" s="66"/>
      <c r="D31" s="66"/>
      <c r="E31" s="66"/>
      <c r="F31" s="66"/>
      <c r="G31" s="66">
        <v>96</v>
      </c>
      <c r="H31" s="66">
        <v>96</v>
      </c>
      <c r="I31" s="66"/>
      <c r="J31" s="66"/>
      <c r="K31" s="66"/>
    </row>
    <row r="32" spans="1:12" ht="22.5" x14ac:dyDescent="0.2">
      <c r="A32" s="65" t="s">
        <v>84</v>
      </c>
      <c r="B32" s="66"/>
      <c r="C32" s="66"/>
      <c r="D32" s="66"/>
      <c r="E32" s="66">
        <v>30</v>
      </c>
      <c r="F32" s="66"/>
      <c r="G32" s="66"/>
      <c r="H32" s="66"/>
      <c r="I32" s="66"/>
      <c r="J32" s="66"/>
      <c r="K32" s="66"/>
    </row>
    <row r="33" spans="1:12" ht="33.75" x14ac:dyDescent="0.2">
      <c r="A33" s="65" t="s">
        <v>78</v>
      </c>
      <c r="B33" s="66"/>
      <c r="C33" s="66"/>
      <c r="D33" s="66"/>
      <c r="E33" s="66">
        <v>40</v>
      </c>
      <c r="F33" s="66"/>
      <c r="G33" s="66"/>
      <c r="H33" s="66"/>
      <c r="I33" s="66"/>
      <c r="J33" s="66"/>
      <c r="K33" s="66"/>
    </row>
    <row r="34" spans="1:12" x14ac:dyDescent="0.2">
      <c r="A34" s="59"/>
      <c r="B34" s="60"/>
      <c r="C34" s="60"/>
      <c r="D34" s="60"/>
      <c r="E34" s="60"/>
      <c r="F34" s="60"/>
      <c r="G34" s="60"/>
      <c r="H34" s="60"/>
      <c r="I34" s="60"/>
      <c r="J34" s="60"/>
      <c r="K34" s="60"/>
    </row>
    <row r="35" spans="1:12" ht="22.5" x14ac:dyDescent="0.2">
      <c r="A35" s="67" t="s">
        <v>85</v>
      </c>
      <c r="B35" s="68">
        <f>SUM(B37:B44)</f>
        <v>199</v>
      </c>
      <c r="C35" s="68">
        <f t="shared" ref="C35:J35" si="10">SUM(C37:C44)</f>
        <v>70</v>
      </c>
      <c r="D35" s="68">
        <f t="shared" si="10"/>
        <v>35</v>
      </c>
      <c r="E35" s="68">
        <f t="shared" si="10"/>
        <v>50</v>
      </c>
      <c r="F35" s="68">
        <f t="shared" si="10"/>
        <v>120</v>
      </c>
      <c r="G35" s="68">
        <f t="shared" si="10"/>
        <v>48</v>
      </c>
      <c r="H35" s="68">
        <f t="shared" si="10"/>
        <v>48</v>
      </c>
      <c r="I35" s="68">
        <f t="shared" si="10"/>
        <v>130</v>
      </c>
      <c r="J35" s="68">
        <f t="shared" si="10"/>
        <v>0</v>
      </c>
      <c r="K35" s="68">
        <f>SUM(B35:J35)</f>
        <v>700</v>
      </c>
      <c r="L35" s="79">
        <f>K35/K2</f>
        <v>5.1470588235294115E-2</v>
      </c>
    </row>
    <row r="36" spans="1:12" x14ac:dyDescent="0.2">
      <c r="A36" s="51" t="s">
        <v>64</v>
      </c>
      <c r="B36" s="52">
        <f>B35*B$3</f>
        <v>4696.4000000000005</v>
      </c>
      <c r="C36" s="52">
        <f t="shared" ref="C36:I36" si="11">C35*C$3</f>
        <v>1652</v>
      </c>
      <c r="D36" s="52">
        <f t="shared" si="11"/>
        <v>787.5</v>
      </c>
      <c r="E36" s="52">
        <f t="shared" si="11"/>
        <v>215</v>
      </c>
      <c r="F36" s="52">
        <f t="shared" si="11"/>
        <v>2700</v>
      </c>
      <c r="G36" s="52">
        <f t="shared" si="11"/>
        <v>1132.8000000000002</v>
      </c>
      <c r="H36" s="52">
        <f t="shared" si="11"/>
        <v>206.39999999999998</v>
      </c>
      <c r="I36" s="52">
        <f t="shared" si="11"/>
        <v>2925</v>
      </c>
      <c r="J36" s="52" t="s">
        <v>63</v>
      </c>
      <c r="K36" s="52">
        <f>SUM(B36:J36)</f>
        <v>14315.1</v>
      </c>
    </row>
    <row r="37" spans="1:12" ht="33.75" x14ac:dyDescent="0.2">
      <c r="A37" s="65" t="s">
        <v>86</v>
      </c>
      <c r="B37" s="66">
        <v>20</v>
      </c>
      <c r="C37" s="66"/>
      <c r="D37" s="66"/>
      <c r="E37" s="66"/>
      <c r="F37" s="66"/>
      <c r="G37" s="66"/>
      <c r="H37" s="66"/>
      <c r="I37" s="66">
        <v>20</v>
      </c>
      <c r="J37" s="66"/>
      <c r="K37" s="66"/>
    </row>
    <row r="38" spans="1:12" ht="33.75" x14ac:dyDescent="0.2">
      <c r="A38" s="65" t="s">
        <v>87</v>
      </c>
      <c r="B38" s="66">
        <v>105</v>
      </c>
      <c r="C38" s="66">
        <v>70</v>
      </c>
      <c r="D38" s="66"/>
      <c r="E38" s="66"/>
      <c r="F38" s="66"/>
      <c r="G38" s="66"/>
      <c r="H38" s="66"/>
      <c r="I38" s="66"/>
      <c r="J38" s="66"/>
      <c r="K38" s="66"/>
    </row>
    <row r="39" spans="1:12" ht="22.5" x14ac:dyDescent="0.2">
      <c r="A39" s="65" t="s">
        <v>88</v>
      </c>
      <c r="B39" s="66">
        <v>40</v>
      </c>
      <c r="C39" s="66"/>
      <c r="D39" s="66"/>
      <c r="E39" s="66"/>
      <c r="F39" s="66"/>
      <c r="G39" s="66"/>
      <c r="H39" s="66"/>
      <c r="I39" s="66">
        <v>40</v>
      </c>
      <c r="J39" s="66"/>
      <c r="K39" s="66"/>
    </row>
    <row r="40" spans="1:12" ht="33.75" x14ac:dyDescent="0.2">
      <c r="A40" s="65" t="s">
        <v>89</v>
      </c>
      <c r="B40" s="66"/>
      <c r="C40" s="66"/>
      <c r="D40" s="66"/>
      <c r="E40" s="66"/>
      <c r="F40" s="66">
        <v>120</v>
      </c>
      <c r="G40" s="66"/>
      <c r="H40" s="66"/>
      <c r="I40" s="66"/>
      <c r="J40" s="66"/>
      <c r="K40" s="66"/>
    </row>
    <row r="41" spans="1:12" ht="22.5" x14ac:dyDescent="0.2">
      <c r="A41" s="65" t="s">
        <v>0</v>
      </c>
      <c r="B41" s="66"/>
      <c r="C41" s="66"/>
      <c r="D41" s="66">
        <v>35</v>
      </c>
      <c r="E41" s="66"/>
      <c r="F41" s="66"/>
      <c r="G41" s="66"/>
      <c r="H41" s="66"/>
      <c r="I41" s="66"/>
      <c r="J41" s="66"/>
      <c r="K41" s="66"/>
    </row>
    <row r="42" spans="1:12" ht="22.5" x14ac:dyDescent="0.2">
      <c r="A42" s="65" t="s">
        <v>1</v>
      </c>
      <c r="B42" s="66">
        <v>24</v>
      </c>
      <c r="C42" s="66"/>
      <c r="D42" s="66"/>
      <c r="E42" s="66"/>
      <c r="F42" s="66"/>
      <c r="G42" s="66"/>
      <c r="H42" s="66"/>
      <c r="I42" s="66">
        <v>20</v>
      </c>
      <c r="J42" s="66"/>
      <c r="K42" s="66"/>
    </row>
    <row r="43" spans="1:12" ht="33.75" x14ac:dyDescent="0.2">
      <c r="A43" s="65" t="s">
        <v>2</v>
      </c>
      <c r="B43" s="66"/>
      <c r="C43" s="66"/>
      <c r="D43" s="66"/>
      <c r="E43" s="66"/>
      <c r="F43" s="66"/>
      <c r="G43" s="66">
        <v>48</v>
      </c>
      <c r="H43" s="66">
        <v>48</v>
      </c>
      <c r="I43" s="66">
        <v>40</v>
      </c>
      <c r="J43" s="66"/>
      <c r="K43" s="66"/>
    </row>
    <row r="44" spans="1:12" x14ac:dyDescent="0.2">
      <c r="A44" s="65" t="s">
        <v>3</v>
      </c>
      <c r="B44" s="66">
        <v>10</v>
      </c>
      <c r="C44" s="66"/>
      <c r="D44" s="66"/>
      <c r="E44" s="66">
        <v>50</v>
      </c>
      <c r="F44" s="66"/>
      <c r="G44" s="66"/>
      <c r="H44" s="66"/>
      <c r="I44" s="66">
        <v>10</v>
      </c>
      <c r="J44" s="66"/>
      <c r="K44" s="66"/>
    </row>
    <row r="45" spans="1:12" x14ac:dyDescent="0.2">
      <c r="A45" s="59"/>
      <c r="B45" s="60"/>
      <c r="C45" s="60"/>
      <c r="D45" s="60"/>
      <c r="E45" s="60"/>
      <c r="F45" s="60"/>
      <c r="G45" s="60"/>
      <c r="H45" s="60"/>
      <c r="I45" s="60"/>
      <c r="J45" s="60"/>
      <c r="K45" s="60"/>
    </row>
    <row r="46" spans="1:12" ht="22.5" x14ac:dyDescent="0.2">
      <c r="A46" s="69" t="s">
        <v>4</v>
      </c>
      <c r="B46" s="70">
        <f>SUM(B48:B54)</f>
        <v>189</v>
      </c>
      <c r="C46" s="70">
        <f t="shared" ref="C46:J46" si="12">SUM(C48:C54)</f>
        <v>70</v>
      </c>
      <c r="D46" s="70">
        <f t="shared" si="12"/>
        <v>65</v>
      </c>
      <c r="E46" s="70">
        <f t="shared" si="12"/>
        <v>0</v>
      </c>
      <c r="F46" s="70">
        <f t="shared" si="12"/>
        <v>120</v>
      </c>
      <c r="G46" s="70">
        <f t="shared" si="12"/>
        <v>48</v>
      </c>
      <c r="H46" s="70">
        <f t="shared" si="12"/>
        <v>48</v>
      </c>
      <c r="I46" s="70">
        <f t="shared" si="12"/>
        <v>150</v>
      </c>
      <c r="J46" s="70">
        <f t="shared" si="12"/>
        <v>0</v>
      </c>
      <c r="K46" s="70">
        <f>SUM(B46:J46)</f>
        <v>690</v>
      </c>
      <c r="L46" s="79">
        <f>K46/K2</f>
        <v>5.0735294117647059E-2</v>
      </c>
    </row>
    <row r="47" spans="1:12" x14ac:dyDescent="0.2">
      <c r="A47" s="51" t="s">
        <v>64</v>
      </c>
      <c r="B47" s="52">
        <f>B46*B$3</f>
        <v>4460.4000000000005</v>
      </c>
      <c r="C47" s="52">
        <f t="shared" ref="C47:I47" si="13">C46*C$3</f>
        <v>1652</v>
      </c>
      <c r="D47" s="52">
        <f t="shared" si="13"/>
        <v>1462.5</v>
      </c>
      <c r="E47" s="52">
        <f t="shared" si="13"/>
        <v>0</v>
      </c>
      <c r="F47" s="52">
        <f t="shared" si="13"/>
        <v>2700</v>
      </c>
      <c r="G47" s="52">
        <f t="shared" si="13"/>
        <v>1132.8000000000002</v>
      </c>
      <c r="H47" s="52">
        <f t="shared" si="13"/>
        <v>206.39999999999998</v>
      </c>
      <c r="I47" s="52">
        <f t="shared" si="13"/>
        <v>3375</v>
      </c>
      <c r="J47" s="52" t="s">
        <v>63</v>
      </c>
      <c r="K47" s="52">
        <f>SUM(B47:J47)</f>
        <v>14989.1</v>
      </c>
    </row>
    <row r="48" spans="1:12" ht="33.75" x14ac:dyDescent="0.2">
      <c r="A48" s="65" t="s">
        <v>5</v>
      </c>
      <c r="B48" s="66">
        <v>20</v>
      </c>
      <c r="C48" s="66"/>
      <c r="D48" s="66"/>
      <c r="E48" s="66"/>
      <c r="F48" s="66"/>
      <c r="G48" s="66"/>
      <c r="H48" s="66"/>
      <c r="I48" s="66">
        <v>40</v>
      </c>
      <c r="J48" s="66"/>
      <c r="K48" s="66"/>
    </row>
    <row r="49" spans="1:12" ht="33.75" x14ac:dyDescent="0.2">
      <c r="A49" s="65" t="s">
        <v>6</v>
      </c>
      <c r="B49" s="66">
        <v>105</v>
      </c>
      <c r="C49" s="66">
        <v>70</v>
      </c>
      <c r="D49" s="66"/>
      <c r="E49" s="66"/>
      <c r="F49" s="66"/>
      <c r="G49" s="66"/>
      <c r="H49" s="66"/>
      <c r="I49" s="66"/>
      <c r="J49" s="66"/>
      <c r="K49" s="66"/>
    </row>
    <row r="50" spans="1:12" ht="22.5" x14ac:dyDescent="0.2">
      <c r="A50" s="65" t="s">
        <v>88</v>
      </c>
      <c r="B50" s="66">
        <v>40</v>
      </c>
      <c r="C50" s="66"/>
      <c r="D50" s="66"/>
      <c r="E50" s="66"/>
      <c r="F50" s="66"/>
      <c r="G50" s="66"/>
      <c r="H50" s="66"/>
      <c r="I50" s="66">
        <v>40</v>
      </c>
      <c r="J50" s="66"/>
      <c r="K50" s="66"/>
    </row>
    <row r="51" spans="1:12" ht="33.75" x14ac:dyDescent="0.2">
      <c r="A51" s="65" t="s">
        <v>89</v>
      </c>
      <c r="B51" s="66"/>
      <c r="C51" s="66"/>
      <c r="D51" s="66"/>
      <c r="E51" s="66"/>
      <c r="F51" s="66">
        <v>120</v>
      </c>
      <c r="G51" s="66"/>
      <c r="H51" s="66"/>
      <c r="I51" s="66"/>
      <c r="J51" s="66"/>
      <c r="K51" s="66"/>
    </row>
    <row r="52" spans="1:12" ht="22.5" x14ac:dyDescent="0.2">
      <c r="A52" s="65" t="s">
        <v>0</v>
      </c>
      <c r="B52" s="66"/>
      <c r="C52" s="66"/>
      <c r="D52" s="66">
        <v>65</v>
      </c>
      <c r="E52" s="66"/>
      <c r="F52" s="66"/>
      <c r="G52" s="66"/>
      <c r="H52" s="66"/>
      <c r="I52" s="66"/>
      <c r="J52" s="66"/>
      <c r="K52" s="66"/>
    </row>
    <row r="53" spans="1:12" ht="22.5" x14ac:dyDescent="0.2">
      <c r="A53" s="65" t="s">
        <v>1</v>
      </c>
      <c r="B53" s="66">
        <v>24</v>
      </c>
      <c r="C53" s="66"/>
      <c r="D53" s="66"/>
      <c r="E53" s="66"/>
      <c r="F53" s="66"/>
      <c r="G53" s="66"/>
      <c r="H53" s="66"/>
      <c r="I53" s="66">
        <v>20</v>
      </c>
      <c r="J53" s="66"/>
      <c r="K53" s="66"/>
    </row>
    <row r="54" spans="1:12" ht="33.75" x14ac:dyDescent="0.2">
      <c r="A54" s="65" t="s">
        <v>2</v>
      </c>
      <c r="B54" s="66"/>
      <c r="C54" s="66"/>
      <c r="D54" s="66"/>
      <c r="E54" s="66"/>
      <c r="F54" s="66"/>
      <c r="G54" s="66">
        <v>48</v>
      </c>
      <c r="H54" s="66">
        <v>48</v>
      </c>
      <c r="I54" s="66">
        <v>50</v>
      </c>
      <c r="J54" s="66"/>
      <c r="K54" s="66"/>
    </row>
    <row r="55" spans="1:12" x14ac:dyDescent="0.2">
      <c r="A55" s="59"/>
      <c r="B55" s="60"/>
      <c r="C55" s="60"/>
      <c r="D55" s="60"/>
      <c r="E55" s="60"/>
      <c r="F55" s="60"/>
      <c r="G55" s="60"/>
      <c r="H55" s="60"/>
      <c r="I55" s="60"/>
      <c r="J55" s="60"/>
      <c r="K55" s="60"/>
    </row>
    <row r="56" spans="1:12" ht="45" x14ac:dyDescent="0.2">
      <c r="A56" s="61" t="s">
        <v>7</v>
      </c>
      <c r="B56" s="62">
        <f t="shared" ref="B56:J56" si="14">SUM(B58:B62)</f>
        <v>50</v>
      </c>
      <c r="C56" s="62">
        <f t="shared" si="14"/>
        <v>50</v>
      </c>
      <c r="D56" s="62">
        <f t="shared" si="14"/>
        <v>50</v>
      </c>
      <c r="E56" s="62">
        <f t="shared" si="14"/>
        <v>30</v>
      </c>
      <c r="F56" s="62">
        <f t="shared" si="14"/>
        <v>50</v>
      </c>
      <c r="G56" s="62">
        <f t="shared" si="14"/>
        <v>30</v>
      </c>
      <c r="H56" s="62">
        <f t="shared" si="14"/>
        <v>30</v>
      </c>
      <c r="I56" s="62">
        <f t="shared" si="14"/>
        <v>0</v>
      </c>
      <c r="J56" s="62">
        <f t="shared" si="14"/>
        <v>0</v>
      </c>
      <c r="K56" s="62">
        <f>SUM(B56:J56)</f>
        <v>290</v>
      </c>
      <c r="L56" s="79">
        <f>K56/K2</f>
        <v>2.1323529411764706E-2</v>
      </c>
    </row>
    <row r="57" spans="1:12" x14ac:dyDescent="0.2">
      <c r="A57" s="51" t="s">
        <v>64</v>
      </c>
      <c r="B57" s="52">
        <f>B56*B$3</f>
        <v>1180</v>
      </c>
      <c r="C57" s="52">
        <f t="shared" ref="C57:I57" si="15">C56*C$3</f>
        <v>1180</v>
      </c>
      <c r="D57" s="52">
        <f t="shared" si="15"/>
        <v>1125</v>
      </c>
      <c r="E57" s="52">
        <f t="shared" si="15"/>
        <v>129</v>
      </c>
      <c r="F57" s="52">
        <f t="shared" si="15"/>
        <v>1125</v>
      </c>
      <c r="G57" s="52">
        <f t="shared" si="15"/>
        <v>708</v>
      </c>
      <c r="H57" s="52">
        <f t="shared" si="15"/>
        <v>129</v>
      </c>
      <c r="I57" s="52">
        <f t="shared" si="15"/>
        <v>0</v>
      </c>
      <c r="J57" s="52" t="s">
        <v>63</v>
      </c>
      <c r="K57" s="52">
        <f>SUM(B57:J57)</f>
        <v>5576</v>
      </c>
    </row>
    <row r="58" spans="1:12" ht="22.5" x14ac:dyDescent="0.2">
      <c r="A58" s="65" t="s">
        <v>8</v>
      </c>
      <c r="B58" s="66">
        <v>50</v>
      </c>
      <c r="C58" s="66"/>
      <c r="D58" s="66"/>
      <c r="E58" s="66"/>
      <c r="F58" s="66"/>
      <c r="G58" s="66">
        <v>30</v>
      </c>
      <c r="H58" s="66">
        <v>30</v>
      </c>
      <c r="I58" s="66"/>
      <c r="J58" s="66"/>
      <c r="K58" s="66"/>
    </row>
    <row r="59" spans="1:12" ht="22.5" x14ac:dyDescent="0.2">
      <c r="A59" s="65" t="s">
        <v>9</v>
      </c>
      <c r="B59" s="66"/>
      <c r="C59" s="66">
        <v>50</v>
      </c>
      <c r="D59" s="66"/>
      <c r="E59" s="66"/>
      <c r="F59" s="66"/>
      <c r="G59" s="66"/>
      <c r="H59" s="66"/>
      <c r="I59" s="66"/>
      <c r="J59" s="66"/>
      <c r="K59" s="66"/>
    </row>
    <row r="60" spans="1:12" x14ac:dyDescent="0.2">
      <c r="A60" s="65" t="s">
        <v>10</v>
      </c>
      <c r="B60" s="66"/>
      <c r="C60" s="66"/>
      <c r="D60" s="66">
        <v>50</v>
      </c>
      <c r="E60" s="66"/>
      <c r="F60" s="66"/>
      <c r="G60" s="66"/>
      <c r="H60" s="66"/>
      <c r="I60" s="66"/>
      <c r="J60" s="66"/>
      <c r="K60" s="66"/>
    </row>
    <row r="61" spans="1:12" x14ac:dyDescent="0.2">
      <c r="A61" s="65" t="s">
        <v>11</v>
      </c>
      <c r="B61" s="66"/>
      <c r="C61" s="66"/>
      <c r="D61" s="66"/>
      <c r="E61" s="66"/>
      <c r="F61" s="66">
        <v>50</v>
      </c>
      <c r="G61" s="66"/>
      <c r="H61" s="66"/>
      <c r="I61" s="66"/>
      <c r="J61" s="66"/>
      <c r="K61" s="66"/>
    </row>
    <row r="62" spans="1:12" x14ac:dyDescent="0.2">
      <c r="A62" s="65" t="s">
        <v>3</v>
      </c>
      <c r="B62" s="66"/>
      <c r="C62" s="66"/>
      <c r="D62" s="66"/>
      <c r="E62" s="66">
        <v>30</v>
      </c>
      <c r="F62" s="66"/>
      <c r="G62" s="66"/>
      <c r="H62" s="66"/>
      <c r="I62" s="66"/>
      <c r="J62" s="66"/>
      <c r="K62" s="66"/>
    </row>
    <row r="63" spans="1:12" x14ac:dyDescent="0.2">
      <c r="A63" s="59"/>
      <c r="B63" s="60"/>
      <c r="C63" s="60"/>
      <c r="D63" s="60"/>
      <c r="E63" s="60"/>
      <c r="F63" s="60"/>
      <c r="G63" s="60"/>
      <c r="H63" s="60"/>
      <c r="I63" s="60"/>
      <c r="J63" s="60"/>
      <c r="K63" s="60"/>
    </row>
    <row r="64" spans="1:12" ht="56.25" x14ac:dyDescent="0.2">
      <c r="A64" s="71" t="s">
        <v>12</v>
      </c>
      <c r="B64" s="72">
        <f>SUM(B66:B69)</f>
        <v>30</v>
      </c>
      <c r="C64" s="72">
        <f t="shared" ref="C64:J64" si="16">SUM(C66:C69)</f>
        <v>100</v>
      </c>
      <c r="D64" s="72">
        <f t="shared" si="16"/>
        <v>300</v>
      </c>
      <c r="E64" s="72">
        <f t="shared" si="16"/>
        <v>80</v>
      </c>
      <c r="F64" s="72">
        <f t="shared" si="16"/>
        <v>250</v>
      </c>
      <c r="G64" s="72">
        <f t="shared" si="16"/>
        <v>0</v>
      </c>
      <c r="H64" s="72">
        <f t="shared" si="16"/>
        <v>50</v>
      </c>
      <c r="I64" s="72">
        <f t="shared" si="16"/>
        <v>0</v>
      </c>
      <c r="J64" s="72">
        <f t="shared" si="16"/>
        <v>0</v>
      </c>
      <c r="K64" s="72">
        <f>SUM(B64:J64)</f>
        <v>810</v>
      </c>
      <c r="L64" s="79">
        <f>K64/K2</f>
        <v>5.9558823529411761E-2</v>
      </c>
    </row>
    <row r="65" spans="1:12" x14ac:dyDescent="0.2">
      <c r="A65" s="51" t="s">
        <v>64</v>
      </c>
      <c r="B65" s="52">
        <f>B64*B$3</f>
        <v>708</v>
      </c>
      <c r="C65" s="52">
        <f t="shared" ref="C65:I65" si="17">C64*C$3</f>
        <v>2360</v>
      </c>
      <c r="D65" s="52">
        <f t="shared" si="17"/>
        <v>6750</v>
      </c>
      <c r="E65" s="52">
        <f t="shared" si="17"/>
        <v>344</v>
      </c>
      <c r="F65" s="52">
        <f t="shared" si="17"/>
        <v>5625</v>
      </c>
      <c r="G65" s="52">
        <f t="shared" si="17"/>
        <v>0</v>
      </c>
      <c r="H65" s="52">
        <f t="shared" si="17"/>
        <v>215</v>
      </c>
      <c r="I65" s="52">
        <f t="shared" si="17"/>
        <v>0</v>
      </c>
      <c r="J65" s="52" t="s">
        <v>63</v>
      </c>
      <c r="K65" s="52">
        <f>SUM(B65:J65)</f>
        <v>16002</v>
      </c>
    </row>
    <row r="66" spans="1:12" ht="22.5" x14ac:dyDescent="0.2">
      <c r="A66" s="65" t="s">
        <v>13</v>
      </c>
      <c r="B66" s="66"/>
      <c r="C66" s="66"/>
      <c r="D66" s="66">
        <v>300</v>
      </c>
      <c r="E66" s="66"/>
      <c r="F66" s="66"/>
      <c r="G66" s="66"/>
      <c r="H66" s="66"/>
      <c r="I66" s="66"/>
      <c r="J66" s="66"/>
      <c r="K66" s="66"/>
    </row>
    <row r="67" spans="1:12" ht="56.25" x14ac:dyDescent="0.2">
      <c r="A67" s="65" t="s">
        <v>14</v>
      </c>
      <c r="B67" s="66">
        <v>30</v>
      </c>
      <c r="C67" s="66">
        <v>100</v>
      </c>
      <c r="D67" s="66"/>
      <c r="E67" s="66"/>
      <c r="F67" s="66">
        <v>250</v>
      </c>
      <c r="G67" s="66"/>
      <c r="H67" s="66"/>
      <c r="I67" s="66"/>
      <c r="J67" s="66"/>
      <c r="K67" s="66"/>
    </row>
    <row r="68" spans="1:12" x14ac:dyDescent="0.2">
      <c r="A68" s="65" t="s">
        <v>15</v>
      </c>
      <c r="B68" s="66"/>
      <c r="C68" s="66"/>
      <c r="D68" s="66"/>
      <c r="E68" s="66">
        <v>80</v>
      </c>
      <c r="F68" s="66"/>
      <c r="G68" s="66"/>
      <c r="H68" s="66"/>
      <c r="I68" s="66"/>
      <c r="J68" s="66"/>
      <c r="K68" s="66"/>
    </row>
    <row r="69" spans="1:12" ht="22.5" x14ac:dyDescent="0.2">
      <c r="A69" s="65" t="s">
        <v>16</v>
      </c>
      <c r="B69" s="66"/>
      <c r="C69" s="66"/>
      <c r="D69" s="66"/>
      <c r="E69" s="66"/>
      <c r="F69" s="66"/>
      <c r="G69" s="66"/>
      <c r="H69" s="66">
        <v>50</v>
      </c>
      <c r="I69" s="66"/>
      <c r="J69" s="66"/>
      <c r="K69" s="66"/>
    </row>
    <row r="70" spans="1:12" x14ac:dyDescent="0.2">
      <c r="A70" s="59"/>
      <c r="B70" s="60"/>
      <c r="C70" s="60"/>
      <c r="D70" s="60"/>
      <c r="E70" s="60"/>
      <c r="F70" s="60"/>
      <c r="G70" s="60"/>
      <c r="H70" s="60"/>
      <c r="I70" s="60"/>
      <c r="J70" s="60"/>
      <c r="K70" s="60"/>
    </row>
    <row r="71" spans="1:12" ht="22.5" x14ac:dyDescent="0.2">
      <c r="A71" s="73" t="s">
        <v>17</v>
      </c>
      <c r="B71" s="74">
        <f>SUM(B73:B79)</f>
        <v>150</v>
      </c>
      <c r="C71" s="74">
        <f t="shared" ref="C71:J71" si="18">SUM(C73:C79)</f>
        <v>40</v>
      </c>
      <c r="D71" s="74">
        <f t="shared" si="18"/>
        <v>140</v>
      </c>
      <c r="E71" s="74">
        <f t="shared" si="18"/>
        <v>50</v>
      </c>
      <c r="F71" s="74">
        <f t="shared" si="18"/>
        <v>50</v>
      </c>
      <c r="G71" s="74">
        <f t="shared" si="18"/>
        <v>320</v>
      </c>
      <c r="H71" s="74">
        <f t="shared" si="18"/>
        <v>320</v>
      </c>
      <c r="I71" s="74">
        <f t="shared" si="18"/>
        <v>360</v>
      </c>
      <c r="J71" s="74">
        <f t="shared" si="18"/>
        <v>720</v>
      </c>
      <c r="K71" s="74">
        <f>SUM(B71:J71)</f>
        <v>2150</v>
      </c>
      <c r="L71" s="79">
        <f>K71/K2</f>
        <v>0.15808823529411764</v>
      </c>
    </row>
    <row r="72" spans="1:12" x14ac:dyDescent="0.2">
      <c r="A72" s="51" t="s">
        <v>64</v>
      </c>
      <c r="B72" s="52">
        <f>B71*B$3</f>
        <v>3540</v>
      </c>
      <c r="C72" s="52">
        <f t="shared" ref="C72:I72" si="19">C71*C$3</f>
        <v>944</v>
      </c>
      <c r="D72" s="52">
        <f t="shared" si="19"/>
        <v>3150</v>
      </c>
      <c r="E72" s="52">
        <f t="shared" si="19"/>
        <v>215</v>
      </c>
      <c r="F72" s="52">
        <f t="shared" si="19"/>
        <v>1125</v>
      </c>
      <c r="G72" s="52">
        <f t="shared" si="19"/>
        <v>7552</v>
      </c>
      <c r="H72" s="52">
        <f t="shared" si="19"/>
        <v>1376</v>
      </c>
      <c r="I72" s="52">
        <f t="shared" si="19"/>
        <v>8100</v>
      </c>
      <c r="J72" s="52" t="s">
        <v>63</v>
      </c>
      <c r="K72" s="52">
        <f>SUM(B72:J72)</f>
        <v>26002</v>
      </c>
    </row>
    <row r="73" spans="1:12" ht="33.75" x14ac:dyDescent="0.2">
      <c r="A73" s="65" t="s">
        <v>18</v>
      </c>
      <c r="B73" s="66">
        <v>150</v>
      </c>
      <c r="C73" s="66"/>
      <c r="D73" s="66"/>
      <c r="E73" s="66"/>
      <c r="F73" s="66"/>
      <c r="G73" s="66"/>
      <c r="H73" s="66"/>
      <c r="I73" s="66">
        <v>100</v>
      </c>
      <c r="J73" s="66"/>
      <c r="K73" s="66"/>
    </row>
    <row r="74" spans="1:12" ht="33.75" x14ac:dyDescent="0.2">
      <c r="A74" s="65" t="s">
        <v>19</v>
      </c>
      <c r="B74" s="66"/>
      <c r="C74" s="66"/>
      <c r="D74" s="66">
        <v>100</v>
      </c>
      <c r="E74" s="66"/>
      <c r="F74" s="66"/>
      <c r="G74" s="66"/>
      <c r="H74" s="66"/>
      <c r="I74" s="66"/>
      <c r="J74" s="66"/>
      <c r="K74" s="66"/>
    </row>
    <row r="75" spans="1:12" ht="45" x14ac:dyDescent="0.2">
      <c r="A75" s="65" t="s">
        <v>20</v>
      </c>
      <c r="B75" s="66"/>
      <c r="C75" s="66"/>
      <c r="D75" s="66"/>
      <c r="E75" s="66"/>
      <c r="F75" s="66"/>
      <c r="G75" s="66">
        <v>320</v>
      </c>
      <c r="H75" s="66">
        <v>320</v>
      </c>
      <c r="I75" s="66">
        <v>260</v>
      </c>
      <c r="J75" s="66">
        <v>320</v>
      </c>
      <c r="K75" s="66"/>
    </row>
    <row r="76" spans="1:12" x14ac:dyDescent="0.2">
      <c r="A76" s="65" t="s">
        <v>3</v>
      </c>
      <c r="B76" s="66"/>
      <c r="C76" s="66"/>
      <c r="D76" s="66"/>
      <c r="E76" s="66">
        <v>50</v>
      </c>
      <c r="F76" s="66"/>
      <c r="G76" s="66"/>
      <c r="H76" s="66"/>
      <c r="I76" s="66"/>
      <c r="J76" s="66"/>
      <c r="K76" s="66"/>
    </row>
    <row r="77" spans="1:12" ht="22.5" x14ac:dyDescent="0.2">
      <c r="A77" s="65" t="s">
        <v>21</v>
      </c>
      <c r="B77" s="66"/>
      <c r="C77" s="66"/>
      <c r="D77" s="66"/>
      <c r="E77" s="66"/>
      <c r="F77" s="66">
        <v>50</v>
      </c>
      <c r="G77" s="66"/>
      <c r="H77" s="66"/>
      <c r="I77" s="66"/>
      <c r="J77" s="66">
        <v>160</v>
      </c>
      <c r="K77" s="66"/>
    </row>
    <row r="78" spans="1:12" x14ac:dyDescent="0.2">
      <c r="A78" s="65" t="s">
        <v>128</v>
      </c>
      <c r="B78" s="66"/>
      <c r="C78" s="66">
        <v>40</v>
      </c>
      <c r="D78" s="66">
        <v>40</v>
      </c>
      <c r="E78" s="66"/>
      <c r="F78" s="66"/>
      <c r="G78" s="66"/>
      <c r="H78" s="66"/>
      <c r="I78" s="66"/>
      <c r="J78" s="66"/>
      <c r="K78" s="66"/>
    </row>
    <row r="79" spans="1:12" x14ac:dyDescent="0.2">
      <c r="A79" s="65" t="s">
        <v>22</v>
      </c>
      <c r="B79" s="66"/>
      <c r="C79" s="66"/>
      <c r="D79" s="66"/>
      <c r="E79" s="66"/>
      <c r="F79" s="66"/>
      <c r="G79" s="66"/>
      <c r="H79" s="66"/>
      <c r="I79" s="66"/>
      <c r="J79" s="66">
        <v>240</v>
      </c>
      <c r="K79" s="66"/>
    </row>
    <row r="80" spans="1:12" x14ac:dyDescent="0.2">
      <c r="A80" s="59"/>
      <c r="B80" s="60"/>
      <c r="C80" s="60"/>
      <c r="D80" s="60"/>
      <c r="E80" s="60"/>
      <c r="F80" s="60"/>
      <c r="G80" s="60"/>
      <c r="H80" s="60"/>
      <c r="I80" s="60"/>
      <c r="J80" s="60"/>
      <c r="K80" s="60"/>
    </row>
    <row r="81" spans="1:12" ht="56.25" x14ac:dyDescent="0.2">
      <c r="A81" s="69" t="s">
        <v>23</v>
      </c>
      <c r="B81" s="70">
        <f>SUM(B83:B86)</f>
        <v>70</v>
      </c>
      <c r="C81" s="70">
        <f t="shared" ref="C81:J81" si="20">SUM(C83:C86)</f>
        <v>60</v>
      </c>
      <c r="D81" s="70">
        <f t="shared" si="20"/>
        <v>0</v>
      </c>
      <c r="E81" s="70">
        <f t="shared" si="20"/>
        <v>50</v>
      </c>
      <c r="F81" s="70">
        <f t="shared" si="20"/>
        <v>0</v>
      </c>
      <c r="G81" s="70">
        <f t="shared" si="20"/>
        <v>160</v>
      </c>
      <c r="H81" s="70">
        <f t="shared" si="20"/>
        <v>160</v>
      </c>
      <c r="I81" s="70">
        <f t="shared" si="20"/>
        <v>0</v>
      </c>
      <c r="J81" s="70">
        <f t="shared" si="20"/>
        <v>0</v>
      </c>
      <c r="K81" s="70">
        <f>SUM(B81:J81)</f>
        <v>500</v>
      </c>
      <c r="L81" s="79">
        <f>K81/K2</f>
        <v>3.6764705882352942E-2</v>
      </c>
    </row>
    <row r="82" spans="1:12" x14ac:dyDescent="0.2">
      <c r="A82" s="51" t="s">
        <v>64</v>
      </c>
      <c r="B82" s="52">
        <f>B81*B$3</f>
        <v>1652</v>
      </c>
      <c r="C82" s="52">
        <f t="shared" ref="C82:I82" si="21">C81*C$3</f>
        <v>1416</v>
      </c>
      <c r="D82" s="52">
        <f t="shared" si="21"/>
        <v>0</v>
      </c>
      <c r="E82" s="52">
        <f t="shared" si="21"/>
        <v>215</v>
      </c>
      <c r="F82" s="52">
        <f t="shared" si="21"/>
        <v>0</v>
      </c>
      <c r="G82" s="52">
        <f t="shared" si="21"/>
        <v>3776</v>
      </c>
      <c r="H82" s="52">
        <f t="shared" si="21"/>
        <v>688</v>
      </c>
      <c r="I82" s="52">
        <f t="shared" si="21"/>
        <v>0</v>
      </c>
      <c r="J82" s="52" t="s">
        <v>63</v>
      </c>
      <c r="K82" s="52">
        <f>SUM(B82:J82)</f>
        <v>7747</v>
      </c>
    </row>
    <row r="83" spans="1:12" x14ac:dyDescent="0.2">
      <c r="A83" s="65" t="s">
        <v>24</v>
      </c>
      <c r="B83" s="66">
        <v>70</v>
      </c>
      <c r="C83" s="66"/>
      <c r="D83" s="66"/>
      <c r="E83" s="66"/>
      <c r="F83" s="66"/>
      <c r="G83" s="66"/>
      <c r="H83" s="66"/>
      <c r="I83" s="66"/>
      <c r="J83" s="66"/>
      <c r="K83" s="66"/>
    </row>
    <row r="84" spans="1:12" ht="22.5" x14ac:dyDescent="0.2">
      <c r="A84" s="65" t="s">
        <v>25</v>
      </c>
      <c r="B84" s="66"/>
      <c r="C84" s="66">
        <v>60</v>
      </c>
      <c r="D84" s="66"/>
      <c r="E84" s="66"/>
      <c r="F84" s="66"/>
      <c r="G84" s="66"/>
      <c r="H84" s="66"/>
      <c r="I84" s="66"/>
      <c r="J84" s="66"/>
      <c r="K84" s="66"/>
    </row>
    <row r="85" spans="1:12" ht="22.5" x14ac:dyDescent="0.2">
      <c r="A85" s="65" t="s">
        <v>83</v>
      </c>
      <c r="B85" s="66"/>
      <c r="C85" s="66"/>
      <c r="D85" s="66"/>
      <c r="E85" s="66"/>
      <c r="F85" s="66"/>
      <c r="G85" s="66">
        <v>160</v>
      </c>
      <c r="H85" s="66">
        <v>160</v>
      </c>
      <c r="I85" s="66"/>
      <c r="J85" s="66"/>
      <c r="K85" s="66"/>
    </row>
    <row r="86" spans="1:12" ht="22.5" x14ac:dyDescent="0.2">
      <c r="A86" s="65" t="s">
        <v>26</v>
      </c>
      <c r="B86" s="66"/>
      <c r="C86" s="66"/>
      <c r="D86" s="66"/>
      <c r="E86" s="66">
        <v>50</v>
      </c>
      <c r="F86" s="66"/>
      <c r="G86" s="66"/>
      <c r="H86" s="66"/>
      <c r="I86" s="66"/>
      <c r="J86" s="66"/>
      <c r="K86" s="66"/>
    </row>
    <row r="87" spans="1:12" x14ac:dyDescent="0.2">
      <c r="A87" s="59"/>
      <c r="B87" s="60"/>
      <c r="C87" s="60"/>
      <c r="D87" s="60"/>
      <c r="E87" s="60"/>
      <c r="F87" s="60"/>
      <c r="G87" s="60"/>
      <c r="H87" s="60"/>
      <c r="I87" s="60"/>
      <c r="J87" s="60"/>
      <c r="K87" s="60"/>
    </row>
    <row r="88" spans="1:12" ht="22.5" x14ac:dyDescent="0.2">
      <c r="A88" s="75" t="s">
        <v>27</v>
      </c>
      <c r="B88" s="76">
        <f>SUM(B90:B93)</f>
        <v>70</v>
      </c>
      <c r="C88" s="76">
        <f t="shared" ref="C88:J88" si="22">SUM(C90:C93)</f>
        <v>250</v>
      </c>
      <c r="D88" s="76">
        <f t="shared" si="22"/>
        <v>0</v>
      </c>
      <c r="E88" s="76">
        <f t="shared" si="22"/>
        <v>50</v>
      </c>
      <c r="F88" s="76">
        <f t="shared" si="22"/>
        <v>0</v>
      </c>
      <c r="G88" s="76">
        <f t="shared" si="22"/>
        <v>120</v>
      </c>
      <c r="H88" s="76">
        <f t="shared" si="22"/>
        <v>120</v>
      </c>
      <c r="I88" s="76">
        <f t="shared" si="22"/>
        <v>0</v>
      </c>
      <c r="J88" s="76">
        <f t="shared" si="22"/>
        <v>100</v>
      </c>
      <c r="K88" s="76">
        <f>SUM(B88:J88)</f>
        <v>710</v>
      </c>
      <c r="L88" s="79">
        <f>K88/K2</f>
        <v>5.2205882352941178E-2</v>
      </c>
    </row>
    <row r="89" spans="1:12" x14ac:dyDescent="0.2">
      <c r="A89" s="51" t="s">
        <v>64</v>
      </c>
      <c r="B89" s="52">
        <f>B88*B$3</f>
        <v>1652</v>
      </c>
      <c r="C89" s="52">
        <f t="shared" ref="C89:I89" si="23">C88*C$3</f>
        <v>5900</v>
      </c>
      <c r="D89" s="52">
        <f t="shared" si="23"/>
        <v>0</v>
      </c>
      <c r="E89" s="52">
        <f t="shared" si="23"/>
        <v>215</v>
      </c>
      <c r="F89" s="52">
        <f t="shared" si="23"/>
        <v>0</v>
      </c>
      <c r="G89" s="52">
        <f t="shared" si="23"/>
        <v>2832</v>
      </c>
      <c r="H89" s="52">
        <f t="shared" si="23"/>
        <v>516</v>
      </c>
      <c r="I89" s="52">
        <f t="shared" si="23"/>
        <v>0</v>
      </c>
      <c r="J89" s="52" t="s">
        <v>63</v>
      </c>
      <c r="K89" s="52">
        <f>SUM(B89:J89)</f>
        <v>11115</v>
      </c>
    </row>
    <row r="90" spans="1:12" x14ac:dyDescent="0.2">
      <c r="A90" s="65" t="s">
        <v>28</v>
      </c>
      <c r="B90" s="66">
        <v>70</v>
      </c>
      <c r="C90" s="66">
        <v>200</v>
      </c>
      <c r="D90" s="66"/>
      <c r="E90" s="66"/>
      <c r="F90" s="66"/>
      <c r="G90" s="66"/>
      <c r="H90" s="66"/>
      <c r="I90" s="66"/>
      <c r="J90" s="66">
        <v>100</v>
      </c>
      <c r="K90" s="66"/>
    </row>
    <row r="91" spans="1:12" x14ac:dyDescent="0.2">
      <c r="A91" s="65" t="s">
        <v>10</v>
      </c>
      <c r="B91" s="66"/>
      <c r="C91" s="66">
        <v>50</v>
      </c>
      <c r="D91" s="66"/>
      <c r="E91" s="66"/>
      <c r="F91" s="66"/>
      <c r="G91" s="66"/>
      <c r="H91" s="66"/>
      <c r="I91" s="66"/>
      <c r="J91" s="66"/>
      <c r="K91" s="66"/>
    </row>
    <row r="92" spans="1:12" ht="22.5" x14ac:dyDescent="0.2">
      <c r="A92" s="65" t="s">
        <v>83</v>
      </c>
      <c r="B92" s="66"/>
      <c r="C92" s="66"/>
      <c r="D92" s="66"/>
      <c r="E92" s="66"/>
      <c r="F92" s="66"/>
      <c r="G92" s="66">
        <v>120</v>
      </c>
      <c r="H92" s="66">
        <v>120</v>
      </c>
      <c r="I92" s="66"/>
      <c r="J92" s="66"/>
      <c r="K92" s="66"/>
    </row>
    <row r="93" spans="1:12" x14ac:dyDescent="0.2">
      <c r="A93" s="65" t="s">
        <v>15</v>
      </c>
      <c r="B93" s="66"/>
      <c r="C93" s="66"/>
      <c r="D93" s="66"/>
      <c r="E93" s="66">
        <v>50</v>
      </c>
      <c r="F93" s="66"/>
      <c r="G93" s="66"/>
      <c r="H93" s="66"/>
      <c r="I93" s="66"/>
      <c r="J93" s="66"/>
      <c r="K93" s="66"/>
    </row>
    <row r="94" spans="1:12" x14ac:dyDescent="0.2">
      <c r="A94" s="59"/>
      <c r="B94" s="60"/>
      <c r="C94" s="60"/>
      <c r="D94" s="60"/>
      <c r="E94" s="60"/>
      <c r="F94" s="60"/>
      <c r="G94" s="60"/>
      <c r="H94" s="60"/>
      <c r="I94" s="60"/>
      <c r="J94" s="60"/>
      <c r="K94" s="60"/>
    </row>
    <row r="95" spans="1:12" ht="22.5" x14ac:dyDescent="0.2">
      <c r="A95" s="61" t="s">
        <v>29</v>
      </c>
      <c r="B95" s="62">
        <f>SUM(B97:B101)</f>
        <v>94</v>
      </c>
      <c r="C95" s="62">
        <f t="shared" ref="C95:J95" si="24">SUM(C97:C101)</f>
        <v>200</v>
      </c>
      <c r="D95" s="62">
        <f t="shared" si="24"/>
        <v>0</v>
      </c>
      <c r="E95" s="62">
        <f t="shared" si="24"/>
        <v>70</v>
      </c>
      <c r="F95" s="62">
        <f t="shared" si="24"/>
        <v>0</v>
      </c>
      <c r="G95" s="62">
        <f t="shared" si="24"/>
        <v>70</v>
      </c>
      <c r="H95" s="62">
        <f t="shared" si="24"/>
        <v>70</v>
      </c>
      <c r="I95" s="62">
        <f t="shared" si="24"/>
        <v>0</v>
      </c>
      <c r="J95" s="62">
        <f t="shared" si="24"/>
        <v>0</v>
      </c>
      <c r="K95" s="62">
        <f>SUM(B95:J95)</f>
        <v>504</v>
      </c>
      <c r="L95" s="79">
        <f>K95/K2</f>
        <v>3.7058823529411762E-2</v>
      </c>
    </row>
    <row r="96" spans="1:12" x14ac:dyDescent="0.2">
      <c r="A96" s="51" t="s">
        <v>64</v>
      </c>
      <c r="B96" s="52">
        <f>B95*B$3</f>
        <v>2218.4</v>
      </c>
      <c r="C96" s="52">
        <f t="shared" ref="C96:I96" si="25">C95*C$3</f>
        <v>4720</v>
      </c>
      <c r="D96" s="52">
        <f t="shared" si="25"/>
        <v>0</v>
      </c>
      <c r="E96" s="52">
        <f t="shared" si="25"/>
        <v>301</v>
      </c>
      <c r="F96" s="52">
        <f t="shared" si="25"/>
        <v>0</v>
      </c>
      <c r="G96" s="52">
        <f t="shared" si="25"/>
        <v>1652</v>
      </c>
      <c r="H96" s="52">
        <f t="shared" si="25"/>
        <v>301</v>
      </c>
      <c r="I96" s="52">
        <f t="shared" si="25"/>
        <v>0</v>
      </c>
      <c r="J96" s="52" t="s">
        <v>63</v>
      </c>
      <c r="K96" s="52">
        <f>SUM(B96:J96)</f>
        <v>9192.4</v>
      </c>
    </row>
    <row r="97" spans="1:12" ht="22.5" x14ac:dyDescent="0.2">
      <c r="A97" s="65" t="s">
        <v>30</v>
      </c>
      <c r="B97" s="66">
        <v>70</v>
      </c>
      <c r="C97" s="66"/>
      <c r="D97" s="66"/>
      <c r="E97" s="66"/>
      <c r="F97" s="66"/>
      <c r="G97" s="66"/>
      <c r="H97" s="66"/>
      <c r="I97" s="66"/>
      <c r="J97" s="66"/>
      <c r="K97" s="66"/>
    </row>
    <row r="98" spans="1:12" x14ac:dyDescent="0.2">
      <c r="A98" s="65" t="s">
        <v>80</v>
      </c>
      <c r="B98" s="66">
        <v>24</v>
      </c>
      <c r="C98" s="66"/>
      <c r="D98" s="66"/>
      <c r="E98" s="66"/>
      <c r="F98" s="66"/>
      <c r="G98" s="66"/>
      <c r="H98" s="66"/>
      <c r="I98" s="66"/>
      <c r="J98" s="66"/>
      <c r="K98" s="66"/>
    </row>
    <row r="99" spans="1:12" x14ac:dyDescent="0.2">
      <c r="A99" s="65" t="s">
        <v>15</v>
      </c>
      <c r="B99" s="66"/>
      <c r="C99" s="66"/>
      <c r="D99" s="66"/>
      <c r="E99" s="66">
        <v>70</v>
      </c>
      <c r="F99" s="66"/>
      <c r="G99" s="66"/>
      <c r="H99" s="66"/>
      <c r="I99" s="66"/>
      <c r="J99" s="66"/>
      <c r="K99" s="66"/>
    </row>
    <row r="100" spans="1:12" x14ac:dyDescent="0.2">
      <c r="A100" s="65" t="s">
        <v>10</v>
      </c>
      <c r="B100" s="66"/>
      <c r="C100" s="66">
        <v>200</v>
      </c>
      <c r="D100" s="66"/>
      <c r="E100" s="66"/>
      <c r="F100" s="66"/>
      <c r="G100" s="66"/>
      <c r="H100" s="66"/>
      <c r="I100" s="66"/>
      <c r="J100" s="66"/>
      <c r="K100" s="66"/>
    </row>
    <row r="101" spans="1:12" x14ac:dyDescent="0.2">
      <c r="A101" s="65" t="s">
        <v>31</v>
      </c>
      <c r="B101" s="66"/>
      <c r="C101" s="66"/>
      <c r="D101" s="66"/>
      <c r="E101" s="66"/>
      <c r="F101" s="66"/>
      <c r="G101" s="66">
        <v>70</v>
      </c>
      <c r="H101" s="66">
        <v>70</v>
      </c>
      <c r="I101" s="66"/>
      <c r="J101" s="66"/>
      <c r="K101" s="66"/>
    </row>
    <row r="102" spans="1:12" x14ac:dyDescent="0.2">
      <c r="A102" s="59"/>
      <c r="B102" s="60"/>
      <c r="C102" s="60"/>
      <c r="D102" s="60"/>
      <c r="E102" s="60"/>
      <c r="F102" s="60"/>
      <c r="G102" s="60"/>
      <c r="H102" s="60"/>
      <c r="I102" s="60"/>
      <c r="J102" s="60"/>
      <c r="K102" s="60"/>
    </row>
    <row r="103" spans="1:12" ht="22.5" x14ac:dyDescent="0.2">
      <c r="A103" s="73" t="s">
        <v>32</v>
      </c>
      <c r="B103" s="74">
        <f>SUM(B105:B109)</f>
        <v>50</v>
      </c>
      <c r="C103" s="74">
        <f t="shared" ref="C103:J103" si="26">SUM(C105:C109)</f>
        <v>50</v>
      </c>
      <c r="D103" s="74">
        <f t="shared" si="26"/>
        <v>50</v>
      </c>
      <c r="E103" s="74">
        <f t="shared" si="26"/>
        <v>50</v>
      </c>
      <c r="F103" s="74">
        <f t="shared" si="26"/>
        <v>50</v>
      </c>
      <c r="G103" s="74">
        <f t="shared" si="26"/>
        <v>40</v>
      </c>
      <c r="H103" s="74">
        <f t="shared" si="26"/>
        <v>0</v>
      </c>
      <c r="I103" s="74">
        <f t="shared" si="26"/>
        <v>0</v>
      </c>
      <c r="J103" s="74">
        <f t="shared" si="26"/>
        <v>480</v>
      </c>
      <c r="K103" s="74">
        <f>SUM(B103:J103)</f>
        <v>770</v>
      </c>
      <c r="L103" s="79">
        <f>K103/K2</f>
        <v>5.6617647058823529E-2</v>
      </c>
    </row>
    <row r="104" spans="1:12" x14ac:dyDescent="0.2">
      <c r="A104" s="51" t="s">
        <v>64</v>
      </c>
      <c r="B104" s="52">
        <f>B103*B$3</f>
        <v>1180</v>
      </c>
      <c r="C104" s="52">
        <f t="shared" ref="C104:I104" si="27">C103*C$3</f>
        <v>1180</v>
      </c>
      <c r="D104" s="52">
        <f t="shared" si="27"/>
        <v>1125</v>
      </c>
      <c r="E104" s="52">
        <f t="shared" si="27"/>
        <v>215</v>
      </c>
      <c r="F104" s="52">
        <f t="shared" si="27"/>
        <v>1125</v>
      </c>
      <c r="G104" s="52">
        <f t="shared" si="27"/>
        <v>944</v>
      </c>
      <c r="H104" s="52">
        <f t="shared" si="27"/>
        <v>0</v>
      </c>
      <c r="I104" s="52">
        <f t="shared" si="27"/>
        <v>0</v>
      </c>
      <c r="J104" s="52" t="s">
        <v>63</v>
      </c>
      <c r="K104" s="52">
        <f>SUM(B104:J104)</f>
        <v>5769</v>
      </c>
    </row>
    <row r="105" spans="1:12" x14ac:dyDescent="0.2">
      <c r="A105" s="65" t="s">
        <v>33</v>
      </c>
      <c r="B105" s="66"/>
      <c r="C105" s="66"/>
      <c r="D105" s="66"/>
      <c r="E105" s="66"/>
      <c r="F105" s="66"/>
      <c r="G105" s="66"/>
      <c r="H105" s="66"/>
      <c r="I105" s="66"/>
      <c r="J105" s="66"/>
      <c r="K105" s="66"/>
    </row>
    <row r="106" spans="1:12" x14ac:dyDescent="0.2">
      <c r="A106" s="65" t="s">
        <v>34</v>
      </c>
      <c r="B106" s="66"/>
      <c r="C106" s="66"/>
      <c r="D106" s="66"/>
      <c r="E106" s="66"/>
      <c r="F106" s="66"/>
      <c r="G106" s="66"/>
      <c r="H106" s="66"/>
      <c r="I106" s="66"/>
      <c r="J106" s="66"/>
      <c r="K106" s="66"/>
    </row>
    <row r="107" spans="1:12" x14ac:dyDescent="0.2">
      <c r="A107" s="65" t="s">
        <v>35</v>
      </c>
      <c r="B107" s="66">
        <v>50</v>
      </c>
      <c r="C107" s="66">
        <v>50</v>
      </c>
      <c r="D107" s="66">
        <v>50</v>
      </c>
      <c r="E107" s="66"/>
      <c r="F107" s="66">
        <v>50</v>
      </c>
      <c r="G107" s="66"/>
      <c r="H107" s="66"/>
      <c r="I107" s="66"/>
      <c r="J107" s="66">
        <v>480</v>
      </c>
      <c r="K107" s="66"/>
    </row>
    <row r="108" spans="1:12" x14ac:dyDescent="0.2">
      <c r="A108" s="65" t="s">
        <v>15</v>
      </c>
      <c r="B108" s="66"/>
      <c r="C108" s="66"/>
      <c r="D108" s="66"/>
      <c r="E108" s="66">
        <v>50</v>
      </c>
      <c r="F108" s="66"/>
      <c r="G108" s="66"/>
      <c r="H108" s="66"/>
      <c r="I108" s="66"/>
      <c r="J108" s="66"/>
      <c r="K108" s="66"/>
    </row>
    <row r="109" spans="1:12" x14ac:dyDescent="0.2">
      <c r="A109" s="65" t="s">
        <v>31</v>
      </c>
      <c r="B109" s="66"/>
      <c r="C109" s="66"/>
      <c r="D109" s="66"/>
      <c r="E109" s="66"/>
      <c r="F109" s="66"/>
      <c r="G109" s="66">
        <v>40</v>
      </c>
      <c r="H109" s="66"/>
      <c r="I109" s="66"/>
      <c r="J109" s="66"/>
      <c r="K109" s="66"/>
    </row>
    <row r="111" spans="1:12" x14ac:dyDescent="0.2">
      <c r="L111" s="79">
        <f>SUM(L6:L103)</f>
        <v>1.0000000000000002</v>
      </c>
    </row>
  </sheetData>
  <phoneticPr fontId="2" type="noConversion"/>
  <printOptions horizontalCentered="1"/>
  <pageMargins left="0.59055118110236227" right="0.59055118110236227" top="0.78740157480314965" bottom="0.78740157480314965" header="0.39370078740157483" footer="0.19685039370078741"/>
  <pageSetup paperSize="9" scale="75" fitToHeight="0" orientation="landscape" horizontalDpi="4294967292" verticalDpi="4294967292" r:id="rId1"/>
  <headerFooter>
    <oddHeader>&amp;C&amp;"Trebuchet MS,Gras"&amp;12FRUCTÔSE - Budget prévisionnel 2015</oddHeader>
    <oddFooter xml:space="preserve">&amp;L&amp;"Trebuchet MS,Normal"© Culture d'Entreprise | ExtraCité | 26.05.2014&amp;R&amp;"Trebuchet MS,Gras"&amp;F | &amp;A
</oddFooter>
  </headerFooter>
  <rowBreaks count="4" manualBreakCount="4">
    <brk id="25" max="16383" man="1"/>
    <brk id="45" max="16383" man="1"/>
    <brk id="63" max="16383" man="1"/>
    <brk id="80" max="16383" man="1"/>
  </rowBreaks>
  <extLst>
    <ext xmlns:mx="http://schemas.microsoft.com/office/mac/excel/2008/main" uri="http://schemas.microsoft.com/office/mac/excel/2008/main">
      <mx:PLV Mode="1" OnePage="0" WScale="62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 Analytique produits 2015</vt:lpstr>
      <vt:lpstr>Analytique charges 2015</vt:lpstr>
      <vt:lpstr>Investissements 2015</vt:lpstr>
      <vt:lpstr>Temps travail et prorata 2015</vt:lpstr>
      <vt:lpstr>'Temps travail et prorata 2015'!Impression_des_titres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Patrick</cp:lastModifiedBy>
  <cp:lastPrinted>2014-05-29T10:50:07Z</cp:lastPrinted>
  <dcterms:created xsi:type="dcterms:W3CDTF">2012-10-02T13:08:24Z</dcterms:created>
  <dcterms:modified xsi:type="dcterms:W3CDTF">2014-05-29T10:54:07Z</dcterms:modified>
</cp:coreProperties>
</file>